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AK-F-a-Filters" sheetId="1" r:id="rId1"/>
    <sheet name="AK-F-a01" sheetId="2" r:id="rId2"/>
    <sheet name="AK-F-a09" sheetId="3" r:id="rId3"/>
    <sheet name="AK-F-a10" sheetId="4" r:id="rId4"/>
    <sheet name="AK-F-a11" sheetId="5" r:id="rId5"/>
  </sheets>
  <definedNames>
    <definedName name="ACwvu.Data." localSheetId="1" hidden="1">'AK-F-a01'!$A$1:$J$42</definedName>
    <definedName name="ACwvu.Data." localSheetId="2" hidden="1">'AK-F-a09'!$A$1:$J$42</definedName>
    <definedName name="ACwvu.Data." localSheetId="3" hidden="1">'AK-F-a10'!$A$1:$J$42</definedName>
    <definedName name="ACwvu.Data." localSheetId="4" hidden="1">'AK-F-a11'!$A$1:$J$42</definedName>
    <definedName name="ACwvu.Data." localSheetId="0" hidden="1">'AK-F-a-Filters'!$A$1:$J$47</definedName>
    <definedName name="ACwvu.Fuel." localSheetId="1" hidden="1">'AK-F-a01'!$E$3:$J$9</definedName>
    <definedName name="ACwvu.Fuel." localSheetId="2" hidden="1">'AK-F-a09'!$E$3:$J$9</definedName>
    <definedName name="ACwvu.Fuel." localSheetId="3" hidden="1">'AK-F-a10'!$E$3:$J$9</definedName>
    <definedName name="ACwvu.Fuel." localSheetId="4" hidden="1">'AK-F-a11'!$E$3:$J$9</definedName>
    <definedName name="ACwvu.Fuel." localSheetId="0" hidden="1">'AK-F-a-Filters'!$E$4:$J$11</definedName>
    <definedName name="ACwvu.Stats." localSheetId="1" hidden="1">'AK-F-a01'!$A$3:$C$25</definedName>
    <definedName name="ACwvu.Stats." localSheetId="2" hidden="1">'AK-F-a09'!$A$3:$C$25</definedName>
    <definedName name="ACwvu.Stats." localSheetId="3" hidden="1">'AK-F-a10'!$A$3:$C$25</definedName>
    <definedName name="ACwvu.Stats." localSheetId="4" hidden="1">'AK-F-a11'!$A$3:$C$25</definedName>
    <definedName name="ACwvu.Stats." localSheetId="0" hidden="1">'AK-F-a-Filters'!$A$4:$C$30</definedName>
    <definedName name="Ambient" localSheetId="1">'AK-F-a01'!$J$4</definedName>
    <definedName name="Ambient" localSheetId="2">'AK-F-a09'!$J$4</definedName>
    <definedName name="Ambient" localSheetId="3">'AK-F-a10'!$J$4</definedName>
    <definedName name="Ambient" localSheetId="4">'AK-F-a11'!$J$4</definedName>
    <definedName name="Ambient" localSheetId="0">'AK-F-a-Filters'!#REF!</definedName>
    <definedName name="Ambient">#REF!</definedName>
    <definedName name="AmbientTemperature" localSheetId="1">'AK-F-a01'!$Q$9</definedName>
    <definedName name="AmbientTemperature" localSheetId="2">'AK-F-a09'!$Q$9</definedName>
    <definedName name="AmbientTemperature" localSheetId="3">'AK-F-a10'!$Q$9</definedName>
    <definedName name="AmbientTemperature" localSheetId="4">'AK-F-a11'!$Q$9</definedName>
    <definedName name="AmbientTemperature" localSheetId="0">'AK-F-a-Filters'!$Q$11</definedName>
    <definedName name="AmbientTemperature">#REF!</definedName>
    <definedName name="AvCO" localSheetId="1">'AK-F-a01'!$C$12</definedName>
    <definedName name="AvCO" localSheetId="2">'AK-F-a09'!$C$12</definedName>
    <definedName name="AvCO" localSheetId="3">'AK-F-a10'!$C$12</definedName>
    <definedName name="AvCO" localSheetId="4">'AK-F-a11'!$C$12</definedName>
    <definedName name="AvCO" localSheetId="0">'AK-F-a-Filters'!$D$15</definedName>
    <definedName name="AvCO">#REF!</definedName>
    <definedName name="AvMoisture" localSheetId="1">'AK-F-a01'!$C$4</definedName>
    <definedName name="AvMoisture" localSheetId="2">'AK-F-a09'!$C$4</definedName>
    <definedName name="AvMoisture" localSheetId="3">'AK-F-a10'!$C$4</definedName>
    <definedName name="AvMoisture" localSheetId="4">'AK-F-a11'!$C$4</definedName>
    <definedName name="AvMoisture" localSheetId="0">'AK-F-a-Filters'!$D$5</definedName>
    <definedName name="AvMoisture">#REF!</definedName>
    <definedName name="AvO2" localSheetId="1">'AK-F-a01'!$C$11</definedName>
    <definedName name="AvO2" localSheetId="2">'AK-F-a09'!$C$11</definedName>
    <definedName name="AvO2" localSheetId="3">'AK-F-a10'!$C$11</definedName>
    <definedName name="AvO2" localSheetId="4">'AK-F-a11'!$C$11</definedName>
    <definedName name="AvO2" localSheetId="0">'AK-F-a-Filters'!$D$14</definedName>
    <definedName name="AvO2">#REF!</definedName>
    <definedName name="AvStackTemp" localSheetId="1">'AK-F-a01'!$C$10</definedName>
    <definedName name="AvStackTemp" localSheetId="2">'AK-F-a09'!$C$10</definedName>
    <definedName name="AvStackTemp" localSheetId="3">'AK-F-a10'!$C$10</definedName>
    <definedName name="AvStackTemp" localSheetId="4">'AK-F-a11'!$C$10</definedName>
    <definedName name="AvStackTemp" localSheetId="0">'AK-F-a-Filters'!$D$12</definedName>
    <definedName name="AvStackTemp">#REF!</definedName>
    <definedName name="BoilWaterLoss" localSheetId="1">'AK-F-a01'!$C$16</definedName>
    <definedName name="BoilWaterLoss" localSheetId="2">'AK-F-a09'!$C$16</definedName>
    <definedName name="BoilWaterLoss" localSheetId="3">'AK-F-a10'!$C$16</definedName>
    <definedName name="BoilWaterLoss" localSheetId="4">'AK-F-a11'!$C$16</definedName>
    <definedName name="BoilWaterLoss" localSheetId="0">'AK-F-a-Filters'!$D$20</definedName>
    <definedName name="BoilWaterLoss">#REF!</definedName>
    <definedName name="BurnRateDry" localSheetId="1">'AK-F-a01'!$C$15</definedName>
    <definedName name="BurnRateDry" localSheetId="2">'AK-F-a09'!$C$15</definedName>
    <definedName name="BurnRateDry" localSheetId="3">'AK-F-a10'!$C$15</definedName>
    <definedName name="BurnRateDry" localSheetId="4">'AK-F-a11'!$C$15</definedName>
    <definedName name="BurnRateDry" localSheetId="0">'AK-F-a-Filters'!$D$19</definedName>
    <definedName name="BurnRateDry">#REF!</definedName>
    <definedName name="Catch" localSheetId="1">'AK-F-a01'!$D$37</definedName>
    <definedName name="Catch" localSheetId="2">'AK-F-a09'!$D$37</definedName>
    <definedName name="Catch" localSheetId="3">'AK-F-a10'!$D$37</definedName>
    <definedName name="Catch" localSheetId="4">'AK-F-a11'!$D$37</definedName>
    <definedName name="Catch" localSheetId="0">'AK-F-a-Filters'!$D$42</definedName>
    <definedName name="Catch">#REF!</definedName>
    <definedName name="Circumf" localSheetId="1">'AK-F-a01'!$P$22:$P$40</definedName>
    <definedName name="Circumf" localSheetId="2">'AK-F-a09'!$P$22:$P$40</definedName>
    <definedName name="Circumf" localSheetId="3">'AK-F-a10'!$P$22:$P$40</definedName>
    <definedName name="Circumf" localSheetId="4">'AK-F-a11'!$P$22:$P$40</definedName>
    <definedName name="Circumf" localSheetId="0">'AK-F-a-Filters'!$P$27:$P$45</definedName>
    <definedName name="Circumf">#REF!</definedName>
    <definedName name="CleanControl" localSheetId="1">'AK-F-a01'!$B$34:$B$35</definedName>
    <definedName name="CleanControl" localSheetId="2">'AK-F-a09'!$B$34:$B$35</definedName>
    <definedName name="CleanControl" localSheetId="3">'AK-F-a10'!$B$34:$B$35</definedName>
    <definedName name="CleanControl" localSheetId="4">'AK-F-a11'!$B$34:$B$35</definedName>
    <definedName name="CleanControl" localSheetId="0">'AK-F-a-Filters'!$B$39:$B$40</definedName>
    <definedName name="CleanControl">#REF!</definedName>
    <definedName name="CM" localSheetId="1">'AK-F-a01'!$H$14:$H$47</definedName>
    <definedName name="CM" localSheetId="2">'AK-F-a09'!$H$14:$H$47</definedName>
    <definedName name="CM" localSheetId="3">'AK-F-a10'!$H$14:$H$47</definedName>
    <definedName name="CM" localSheetId="4">'AK-F-a11'!$H$14:$H$47</definedName>
    <definedName name="CM" localSheetId="0">'AK-F-a-Filters'!$H$32:$H$52</definedName>
    <definedName name="CM">#REF!</definedName>
    <definedName name="CO" localSheetId="1">'AK-F-a01'!$H$14:$H$47</definedName>
    <definedName name="CO" localSheetId="2">'AK-F-a09'!$H$14:$H$47</definedName>
    <definedName name="CO" localSheetId="3">'AK-F-a10'!$H$14:$H$47</definedName>
    <definedName name="CO" localSheetId="4">'AK-F-a11'!$H$14:$H$47</definedName>
    <definedName name="CO" localSheetId="0">'AK-F-a-Filters'!$H$32:$H$52</definedName>
    <definedName name="CO">#REF!</definedName>
    <definedName name="COLoss" localSheetId="1">'AK-F-a01'!$C$17</definedName>
    <definedName name="COLoss" localSheetId="2">'AK-F-a09'!$C$17</definedName>
    <definedName name="COLoss" localSheetId="3">'AK-F-a10'!$C$17</definedName>
    <definedName name="COLoss" localSheetId="4">'AK-F-a11'!$C$17</definedName>
    <definedName name="COLoss" localSheetId="0">'AK-F-a-Filters'!$D$21</definedName>
    <definedName name="COLoss">#REF!</definedName>
    <definedName name="CombEfficPartic" localSheetId="1">'AK-F-a01'!#REF!</definedName>
    <definedName name="CombEfficPartic" localSheetId="2">'AK-F-a09'!#REF!</definedName>
    <definedName name="CombEfficPartic" localSheetId="3">'AK-F-a10'!#REF!</definedName>
    <definedName name="CombEfficPartic" localSheetId="4">'AK-F-a11'!#REF!</definedName>
    <definedName name="CombEfficPartic" localSheetId="0">'AK-F-a-Filters'!#REF!</definedName>
    <definedName name="CombEfficPartic">#REF!</definedName>
    <definedName name="CombustEffic" localSheetId="1">'AK-F-a01'!$C$23</definedName>
    <definedName name="CombustEffic" localSheetId="2">'AK-F-a09'!$C$23</definedName>
    <definedName name="CombustEffic" localSheetId="3">'AK-F-a10'!$C$23</definedName>
    <definedName name="CombustEffic" localSheetId="4">'AK-F-a11'!$C$23</definedName>
    <definedName name="CombustEffic" localSheetId="0">'AK-F-a-Filters'!$D$28</definedName>
    <definedName name="CombustEffic">#REF!</definedName>
    <definedName name="COO" localSheetId="1">'AK-F-a01'!$I$14:$I$47</definedName>
    <definedName name="COO" localSheetId="2">'AK-F-a09'!$I$14:$I$47</definedName>
    <definedName name="COO" localSheetId="3">'AK-F-a10'!$I$14:$I$47</definedName>
    <definedName name="COO" localSheetId="4">'AK-F-a11'!$I$14:$I$47</definedName>
    <definedName name="COO" localSheetId="0">'AK-F-a-Filters'!$I$17:$I$52</definedName>
    <definedName name="COO">#REF!</definedName>
    <definedName name="DATE" localSheetId="1">'AK-F-a01'!$J$3</definedName>
    <definedName name="DATE" localSheetId="2">'AK-F-a09'!$J$3</definedName>
    <definedName name="DATE" localSheetId="3">'AK-F-a10'!$J$3</definedName>
    <definedName name="DATE" localSheetId="4">'AK-F-a11'!$J$3</definedName>
    <definedName name="DATE" localSheetId="0">'AK-F-a-Filters'!$J$4</definedName>
    <definedName name="DATE">#REF!</definedName>
    <definedName name="Density" localSheetId="1">'AK-F-a01'!$G$8</definedName>
    <definedName name="Density" localSheetId="2">'AK-F-a09'!$G$8</definedName>
    <definedName name="Density" localSheetId="3">'AK-F-a10'!$G$8</definedName>
    <definedName name="Density" localSheetId="4">'AK-F-a11'!$G$8</definedName>
    <definedName name="Density" localSheetId="0">'AK-F-a-Filters'!$K$10</definedName>
    <definedName name="Density">#REF!</definedName>
    <definedName name="DilutionFactor" localSheetId="1">'AK-F-a01'!$C$14</definedName>
    <definedName name="DilutionFactor" localSheetId="2">'AK-F-a09'!$C$14</definedName>
    <definedName name="DilutionFactor" localSheetId="3">'AK-F-a10'!$C$14</definedName>
    <definedName name="DilutionFactor" localSheetId="4">'AK-F-a11'!$C$14</definedName>
    <definedName name="DilutionFactor" localSheetId="0">'AK-F-a-Filters'!$D$17</definedName>
    <definedName name="DilutionFactor">#REF!</definedName>
    <definedName name="DirtyControl" localSheetId="1">'AK-F-a01'!$C$34:$C$35</definedName>
    <definedName name="DirtyControl" localSheetId="2">'AK-F-a09'!$C$34:$C$35</definedName>
    <definedName name="DirtyControl" localSheetId="3">'AK-F-a10'!$C$34:$C$35</definedName>
    <definedName name="DirtyControl" localSheetId="4">'AK-F-a11'!$C$34:$C$35</definedName>
    <definedName name="DirtyControl" localSheetId="0">'AK-F-a-Filters'!$C$39:$C$40</definedName>
    <definedName name="DirtyControl">#REF!</definedName>
    <definedName name="DryGasLoss" localSheetId="1">'AK-F-a01'!$C$19</definedName>
    <definedName name="DryGasLoss" localSheetId="2">'AK-F-a09'!$C$19</definedName>
    <definedName name="DryGasLoss" localSheetId="3">'AK-F-a10'!$C$19</definedName>
    <definedName name="DryGasLoss" localSheetId="4">'AK-F-a11'!$C$19</definedName>
    <definedName name="DryGasLoss" localSheetId="0">'AK-F-a-Filters'!$D$24</definedName>
    <definedName name="DryGasLoss">#REF!</definedName>
    <definedName name="FiltClean" localSheetId="1">'AK-F-a01'!$B$28:$B$33</definedName>
    <definedName name="FiltClean" localSheetId="2">'AK-F-a09'!$B$28:$B$33</definedName>
    <definedName name="FiltClean" localSheetId="3">'AK-F-a10'!$B$28:$B$33</definedName>
    <definedName name="FiltClean" localSheetId="4">'AK-F-a11'!$B$28:$B$33</definedName>
    <definedName name="FiltClean" localSheetId="0">'AK-F-a-Filters'!$B$33:$B$38</definedName>
    <definedName name="FiltClean">#REF!</definedName>
    <definedName name="FiltDirty" localSheetId="1">'AK-F-a01'!$C$28:$C$33</definedName>
    <definedName name="FiltDirty" localSheetId="2">'AK-F-a09'!$C$28:$C$33</definedName>
    <definedName name="FiltDirty" localSheetId="3">'AK-F-a10'!$C$28:$C$33</definedName>
    <definedName name="FiltDirty" localSheetId="4">'AK-F-a11'!$C$28:$C$33</definedName>
    <definedName name="FiltDirty" localSheetId="0">'AK-F-a-Filters'!$C$33:$C$38</definedName>
    <definedName name="FiltDirty">#REF!</definedName>
    <definedName name="FuelConfig" localSheetId="1">'AK-F-a01'!$O$14:$Q$18</definedName>
    <definedName name="FuelConfig" localSheetId="2">'AK-F-a09'!$O$14:$Q$18</definedName>
    <definedName name="FuelConfig" localSheetId="3">'AK-F-a10'!$O$14:$Q$18</definedName>
    <definedName name="FuelConfig" localSheetId="4">'AK-F-a11'!$O$14:$Q$18</definedName>
    <definedName name="FuelConfig" localSheetId="0">'AK-F-a-Filters'!$O$17:$Q$22</definedName>
    <definedName name="FuelConfig">#REF!</definedName>
    <definedName name="g\kgCondar" localSheetId="1">'AK-F-a01'!$C$28</definedName>
    <definedName name="g\kgCondar" localSheetId="2">'AK-F-a09'!$C$28</definedName>
    <definedName name="g\kgCondar" localSheetId="3">'AK-F-a10'!$C$28</definedName>
    <definedName name="g\kgCondar" localSheetId="4">'AK-F-a11'!$C$28</definedName>
    <definedName name="g\kgCondar" localSheetId="0">'AK-F-a-Filters'!$C$33</definedName>
    <definedName name="g\kgCondar">#REF!</definedName>
    <definedName name="gmKgCO" localSheetId="1">'AK-F-a01'!$C$22</definedName>
    <definedName name="gmKgCO" localSheetId="2">'AK-F-a09'!$C$22</definedName>
    <definedName name="gmKgCO" localSheetId="3">'AK-F-a10'!$C$22</definedName>
    <definedName name="gmKgCO" localSheetId="4">'AK-F-a11'!$C$22</definedName>
    <definedName name="gmKgCO" localSheetId="0">'AK-F-a-Filters'!$D$27</definedName>
    <definedName name="gmKgCO">#REF!</definedName>
    <definedName name="gmKgCondar" localSheetId="1">'AK-F-a01'!$C$21</definedName>
    <definedName name="gmKgCondar" localSheetId="2">'AK-F-a09'!$C$21</definedName>
    <definedName name="gmKgCondar" localSheetId="3">'AK-F-a10'!$C$21</definedName>
    <definedName name="gmKgCondar" localSheetId="4">'AK-F-a11'!$C$21</definedName>
    <definedName name="gmKgCondar" localSheetId="0">'AK-F-a-Filters'!$D$26</definedName>
    <definedName name="gmKgCondar">#REF!</definedName>
    <definedName name="gmKgM7" localSheetId="1">'AK-F-a01'!#REF!</definedName>
    <definedName name="gmKgM7" localSheetId="2">'AK-F-a09'!#REF!</definedName>
    <definedName name="gmKgM7" localSheetId="3">'AK-F-a10'!#REF!</definedName>
    <definedName name="gmKgM7" localSheetId="4">'AK-F-a11'!#REF!</definedName>
    <definedName name="gmKgM7" localSheetId="0">'AK-F-a-Filters'!#REF!</definedName>
    <definedName name="gmKgM7">#REF!</definedName>
    <definedName name="HCLoss" localSheetId="1">'AK-F-a01'!$C$18</definedName>
    <definedName name="HCLoss" localSheetId="2">'AK-F-a09'!$C$18</definedName>
    <definedName name="HCLoss" localSheetId="3">'AK-F-a10'!$C$18</definedName>
    <definedName name="HCLoss" localSheetId="4">'AK-F-a11'!$C$18</definedName>
    <definedName name="HCLoss" localSheetId="0">'AK-F-a-Filters'!$D$22</definedName>
    <definedName name="HCLoss">#REF!</definedName>
    <definedName name="HTransEffic" localSheetId="1">'AK-F-a01'!$C$24</definedName>
    <definedName name="HTransEffic" localSheetId="2">'AK-F-a09'!$C$24</definedName>
    <definedName name="HTransEffic" localSheetId="3">'AK-F-a10'!$C$24</definedName>
    <definedName name="HTransEffic" localSheetId="4">'AK-F-a11'!$C$24</definedName>
    <definedName name="HTransEffic" localSheetId="0">'AK-F-a-Filters'!$D$29</definedName>
    <definedName name="HTransEffic">#REF!</definedName>
    <definedName name="KindlingWeight" localSheetId="1">'AK-F-a01'!$N$16</definedName>
    <definedName name="KindlingWeight" localSheetId="2">'AK-F-a09'!$N$16</definedName>
    <definedName name="KindlingWeight" localSheetId="3">'AK-F-a10'!$N$16</definedName>
    <definedName name="KindlingWeight" localSheetId="4">'AK-F-a11'!$N$16</definedName>
    <definedName name="KindlingWeight" localSheetId="0">'AK-F-a-Filters'!$N$20</definedName>
    <definedName name="KindlingWeight">#REF!</definedName>
    <definedName name="Length" localSheetId="1">'AK-F-a01'!$Q$22:$Q$40</definedName>
    <definedName name="Length" localSheetId="2">'AK-F-a09'!$Q$22:$Q$40</definedName>
    <definedName name="Length" localSheetId="3">'AK-F-a10'!$Q$22:$Q$40</definedName>
    <definedName name="Length" localSheetId="4">'AK-F-a11'!$Q$22:$Q$40</definedName>
    <definedName name="Length" localSheetId="0">'AK-F-a-Filters'!$Q$27:$Q$45</definedName>
    <definedName name="Length">#REF!</definedName>
    <definedName name="Moist" localSheetId="1">'AK-F-a01'!$C$4</definedName>
    <definedName name="Moist" localSheetId="2">'AK-F-a09'!$C$4</definedName>
    <definedName name="Moist" localSheetId="3">'AK-F-a10'!$C$4</definedName>
    <definedName name="Moist" localSheetId="4">'AK-F-a11'!$C$4</definedName>
    <definedName name="Moist" localSheetId="0">'AK-F-a-Filters'!$D$5</definedName>
    <definedName name="Moist">#REF!</definedName>
    <definedName name="Moisture" localSheetId="1">'AK-F-a01'!$O$22:$O$40</definedName>
    <definedName name="Moisture" localSheetId="2">'AK-F-a09'!$O$22:$O$40</definedName>
    <definedName name="Moisture" localSheetId="3">'AK-F-a10'!$O$22:$O$40</definedName>
    <definedName name="Moisture" localSheetId="4">'AK-F-a11'!$O$22:$O$40</definedName>
    <definedName name="Moisture" localSheetId="0">'AK-F-a-Filters'!$O$27:$O$45</definedName>
    <definedName name="Moisture">#REF!</definedName>
    <definedName name="NumberOfPieces" localSheetId="1">'AK-F-a01'!$C$7</definedName>
    <definedName name="NumberOfPieces" localSheetId="2">'AK-F-a09'!$C$7</definedName>
    <definedName name="NumberOfPieces" localSheetId="3">'AK-F-a10'!$C$7</definedName>
    <definedName name="NumberOfPieces" localSheetId="4">'AK-F-a11'!$C$7</definedName>
    <definedName name="NumberOfPieces" localSheetId="0">'AK-F-a-Filters'!$D$9</definedName>
    <definedName name="NumberOfPieces">#REF!</definedName>
    <definedName name="O2T">#REF!</definedName>
    <definedName name="Ocalc" localSheetId="1">'AK-F-a01'!$G$15:$G$38</definedName>
    <definedName name="Ocalc" localSheetId="2">'AK-F-a09'!$G$15:$G$38</definedName>
    <definedName name="Ocalc" localSheetId="3">'AK-F-a10'!$G$15:$G$38</definedName>
    <definedName name="Ocalc" localSheetId="4">'AK-F-a11'!$G$15:$G$38</definedName>
    <definedName name="Ocalc" localSheetId="0">'AK-F-a-Filters'!$G$19:$G$43</definedName>
    <definedName name="Ocalc">#REF!</definedName>
    <definedName name="Odiff" localSheetId="1">'AK-F-a01'!$N$20:$O$40</definedName>
    <definedName name="Odiff" localSheetId="2">'AK-F-a09'!$N$20:$O$40</definedName>
    <definedName name="Odiff" localSheetId="3">'AK-F-a10'!$N$20:$O$40</definedName>
    <definedName name="Odiff" localSheetId="4">'AK-F-a11'!$N$20:$O$40</definedName>
    <definedName name="Odiff" localSheetId="0">'AK-F-a-Filters'!$N$25:$O$45</definedName>
    <definedName name="Odiff">#REF!</definedName>
    <definedName name="OO">#REF!</definedName>
    <definedName name="Oxy" localSheetId="1">'AK-F-a01'!$G$39:$G$47</definedName>
    <definedName name="Oxy" localSheetId="2">'AK-F-a09'!$G$39:$G$47</definedName>
    <definedName name="Oxy" localSheetId="3">'AK-F-a10'!$G$39:$G$47</definedName>
    <definedName name="Oxy" localSheetId="4">'AK-F-a11'!$G$39:$G$47</definedName>
    <definedName name="Oxy" localSheetId="0">'AK-F-a-Filters'!$G$44:$G$52</definedName>
    <definedName name="Oxy">#REF!</definedName>
    <definedName name="PcNum" localSheetId="1">'AK-F-a01'!$M$22:$M$30</definedName>
    <definedName name="PcNum" localSheetId="2">'AK-F-a09'!$M$22:$M$30</definedName>
    <definedName name="PcNum" localSheetId="3">'AK-F-a10'!$M$22:$M$30</definedName>
    <definedName name="PcNum" localSheetId="4">'AK-F-a11'!$M$22:$M$30</definedName>
    <definedName name="PcNum" localSheetId="0">'AK-F-a-Filters'!$M$27:$M$35</definedName>
    <definedName name="PcNum">#REF!</definedName>
    <definedName name="PcWt" localSheetId="1">'AK-F-a01'!$N$22:$N$40</definedName>
    <definedName name="PcWt" localSheetId="2">'AK-F-a09'!$N$22:$N$40</definedName>
    <definedName name="PcWt" localSheetId="3">'AK-F-a10'!$N$22:$N$40</definedName>
    <definedName name="PcWt" localSheetId="4">'AK-F-a11'!$N$22:$N$40</definedName>
    <definedName name="PcWt" localSheetId="0">'AK-F-a-Filters'!$N$27:$N$45</definedName>
    <definedName name="PcWt">#REF!</definedName>
    <definedName name="_xlnm.Print_Area" localSheetId="1">'AK-F-a01'!$A$1:$J$42</definedName>
    <definedName name="_xlnm.Print_Area" localSheetId="2">'AK-F-a09'!$A$1:$J$42</definedName>
    <definedName name="_xlnm.Print_Area" localSheetId="3">'AK-F-a10'!$A$1:$J$42</definedName>
    <definedName name="_xlnm.Print_Area" localSheetId="4">'AK-F-a11'!$A$1:$J$42</definedName>
    <definedName name="_xlnm.Print_Area" localSheetId="0">'AK-F-a-Filters'!$A$1:$J$47</definedName>
    <definedName name="RLength" localSheetId="1">'AK-F-a01'!$N$10</definedName>
    <definedName name="RLength" localSheetId="2">'AK-F-a09'!$N$10</definedName>
    <definedName name="RLength" localSheetId="3">'AK-F-a10'!$N$10</definedName>
    <definedName name="RLength" localSheetId="4">'AK-F-a11'!$N$10</definedName>
    <definedName name="RLength" localSheetId="0">'AK-F-a-Filters'!$N$12</definedName>
    <definedName name="RLength">#REF!</definedName>
    <definedName name="RunLength" localSheetId="1">'AK-F-a01'!$C$9</definedName>
    <definedName name="RunLength" localSheetId="2">'AK-F-a09'!$C$9</definedName>
    <definedName name="RunLength" localSheetId="3">'AK-F-a10'!$C$9</definedName>
    <definedName name="RunLength" localSheetId="4">'AK-F-a11'!$C$9</definedName>
    <definedName name="RunLength" localSheetId="0">'AK-F-a-Filters'!$D$11</definedName>
    <definedName name="RunLength">#REF!</definedName>
    <definedName name="RunNumber" localSheetId="1">'AK-F-a01'!$N$7</definedName>
    <definedName name="RunNumber" localSheetId="2">'AK-F-a09'!$N$7</definedName>
    <definedName name="RunNumber" localSheetId="3">'AK-F-a10'!$N$7</definedName>
    <definedName name="RunNumber" localSheetId="4">'AK-F-a11'!$N$7</definedName>
    <definedName name="RunNumber" localSheetId="0">'AK-F-a-Filters'!$N$9</definedName>
    <definedName name="RunNumber">#REF!</definedName>
    <definedName name="SCRATCH" localSheetId="1">'AK-F-a01'!#REF!</definedName>
    <definedName name="SCRATCH" localSheetId="2">'AK-F-a09'!#REF!</definedName>
    <definedName name="SCRATCH" localSheetId="3">'AK-F-a10'!#REF!</definedName>
    <definedName name="SCRATCH" localSheetId="4">'AK-F-a11'!#REF!</definedName>
    <definedName name="SCRATCH" localSheetId="0">'AK-F-a-Filters'!#REF!</definedName>
    <definedName name="SCRATCH">#REF!</definedName>
    <definedName name="ShapeFactor">#REF!</definedName>
    <definedName name="StackTemp" localSheetId="1">'AK-F-a01'!$F$14:$F$47</definedName>
    <definedName name="StackTemp" localSheetId="2">'AK-F-a09'!$F$14:$F$47</definedName>
    <definedName name="StackTemp" localSheetId="3">'AK-F-a10'!$F$14:$F$47</definedName>
    <definedName name="StackTemp" localSheetId="4">'AK-F-a11'!$F$14:$F$47</definedName>
    <definedName name="StackTemp" localSheetId="0">'AK-F-a-Filters'!$F$17:$F$52</definedName>
    <definedName name="StackTemp">#REF!</definedName>
    <definedName name="StackTempFactor" localSheetId="1">'AK-F-a01'!$C$13</definedName>
    <definedName name="StackTempFactor" localSheetId="2">'AK-F-a09'!$C$13</definedName>
    <definedName name="StackTempFactor" localSheetId="3">'AK-F-a10'!$C$13</definedName>
    <definedName name="StackTempFactor" localSheetId="4">'AK-F-a11'!$C$13</definedName>
    <definedName name="StackTempFactor" localSheetId="0">'AK-F-a-Filters'!$D$16</definedName>
    <definedName name="StackTempFactor">#REF!</definedName>
    <definedName name="StakTemp" localSheetId="1">'AK-F-a01'!$F$14:$F$47</definedName>
    <definedName name="StakTemp" localSheetId="2">'AK-F-a09'!$F$14:$F$47</definedName>
    <definedName name="StakTemp" localSheetId="3">'AK-F-a10'!$F$14:$F$47</definedName>
    <definedName name="StakTemp" localSheetId="4">'AK-F-a11'!$F$14:$F$47</definedName>
    <definedName name="StakTemp" localSheetId="0">'AK-F-a-Filters'!$F$17:$F$52</definedName>
    <definedName name="StakTemp">#REF!</definedName>
    <definedName name="StartTime" localSheetId="1">'AK-F-a01'!$N$9</definedName>
    <definedName name="StartTime" localSheetId="2">'AK-F-a09'!$N$9</definedName>
    <definedName name="StartTime" localSheetId="3">'AK-F-a10'!$N$9</definedName>
    <definedName name="StartTime" localSheetId="4">'AK-F-a11'!$N$9</definedName>
    <definedName name="StartTime" localSheetId="0">'AK-F-a-Filters'!$N$11</definedName>
    <definedName name="StartTime">#REF!</definedName>
    <definedName name="SurfToVol" localSheetId="1">'AK-F-a01'!#REF!</definedName>
    <definedName name="SurfToVol" localSheetId="2">'AK-F-a09'!#REF!</definedName>
    <definedName name="SurfToVol" localSheetId="3">'AK-F-a10'!#REF!</definedName>
    <definedName name="SurfToVol" localSheetId="4">'AK-F-a11'!#REF!</definedName>
    <definedName name="SurfToVol" localSheetId="0">'AK-F-a-Filters'!#REF!</definedName>
    <definedName name="SurfToVol">#REF!</definedName>
    <definedName name="Swvu.Data." localSheetId="1" hidden="1">'AK-F-a01'!$A$1:$J$42</definedName>
    <definedName name="Swvu.Data." localSheetId="2" hidden="1">'AK-F-a09'!$A$1:$J$42</definedName>
    <definedName name="Swvu.Data." localSheetId="3" hidden="1">'AK-F-a10'!$A$1:$J$42</definedName>
    <definedName name="Swvu.Data." localSheetId="4" hidden="1">'AK-F-a11'!$A$1:$J$42</definedName>
    <definedName name="Swvu.Data." localSheetId="0" hidden="1">'AK-F-a-Filters'!$A$1:$J$47</definedName>
    <definedName name="Swvu.Fuel." localSheetId="1" hidden="1">'AK-F-a01'!$E$3:$J$9</definedName>
    <definedName name="Swvu.Fuel." localSheetId="2" hidden="1">'AK-F-a09'!$E$3:$J$9</definedName>
    <definedName name="Swvu.Fuel." localSheetId="3" hidden="1">'AK-F-a10'!$E$3:$J$9</definedName>
    <definedName name="Swvu.Fuel." localSheetId="4" hidden="1">'AK-F-a11'!$E$3:$J$9</definedName>
    <definedName name="Swvu.Fuel." localSheetId="0" hidden="1">'AK-F-a-Filters'!$E$4:$J$11</definedName>
    <definedName name="Swvu.Stats." localSheetId="1" hidden="1">'AK-F-a01'!$A$3:$C$25</definedName>
    <definedName name="Swvu.Stats." localSheetId="2" hidden="1">'AK-F-a09'!$A$3:$C$25</definedName>
    <definedName name="Swvu.Stats." localSheetId="3" hidden="1">'AK-F-a10'!$A$3:$C$25</definedName>
    <definedName name="Swvu.Stats." localSheetId="4" hidden="1">'AK-F-a11'!$A$3:$C$25</definedName>
    <definedName name="Swvu.Stats." localSheetId="0" hidden="1">'AK-F-a-Filters'!$A$4:$C$30</definedName>
    <definedName name="System">#REF!</definedName>
    <definedName name="TimeSinceLast" localSheetId="1">'AK-F-a01'!$N$8</definedName>
    <definedName name="TimeSinceLast" localSheetId="2">'AK-F-a09'!$N$8</definedName>
    <definedName name="TimeSinceLast" localSheetId="3">'AK-F-a10'!$N$8</definedName>
    <definedName name="TimeSinceLast" localSheetId="4">'AK-F-a11'!$N$8</definedName>
    <definedName name="TimeSinceLast" localSheetId="0">'AK-F-a-Filters'!$N$10</definedName>
    <definedName name="TimeSinceLast">#REF!</definedName>
    <definedName name="TypeFuel" localSheetId="1">'AK-F-a01'!$G$7</definedName>
    <definedName name="TypeFuel" localSheetId="2">'AK-F-a09'!$G$7</definedName>
    <definedName name="TypeFuel" localSheetId="3">'AK-F-a10'!$G$7</definedName>
    <definedName name="TypeFuel" localSheetId="4">'AK-F-a11'!$G$7</definedName>
    <definedName name="TypeFuel" localSheetId="0">'AK-F-a-Filters'!$K$9</definedName>
    <definedName name="TypeFuel">#REF!</definedName>
    <definedName name="UnburnedFuel" localSheetId="1">'AK-F-a01'!$G$9</definedName>
    <definedName name="UnburnedFuel" localSheetId="2">'AK-F-a09'!$G$9</definedName>
    <definedName name="UnburnedFuel" localSheetId="3">'AK-F-a10'!$G$9</definedName>
    <definedName name="UnburnedFuel" localSheetId="4">'AK-F-a11'!$G$9</definedName>
    <definedName name="UnburnedFuel" localSheetId="0">'AK-F-a-Filters'!$K$11</definedName>
    <definedName name="UnburnedFuel">#REF!</definedName>
    <definedName name="UnFuel" localSheetId="1">'AK-F-a01'!$N$17</definedName>
    <definedName name="UnFuel" localSheetId="2">'AK-F-a09'!$N$17</definedName>
    <definedName name="UnFuel" localSheetId="3">'AK-F-a10'!$N$17</definedName>
    <definedName name="UnFuel" localSheetId="4">'AK-F-a11'!$N$17</definedName>
    <definedName name="UnFuel" localSheetId="0">'AK-F-a-Filters'!$N$21</definedName>
    <definedName name="UnFuel">#REF!</definedName>
    <definedName name="Weight" localSheetId="1">'AK-F-a01'!$N$22:$N$30</definedName>
    <definedName name="Weight" localSheetId="2">'AK-F-a09'!$N$22:$N$30</definedName>
    <definedName name="Weight" localSheetId="3">'AK-F-a10'!$N$22:$N$30</definedName>
    <definedName name="Weight" localSheetId="4">'AK-F-a11'!$N$22:$N$30</definedName>
    <definedName name="Weight" localSheetId="0">'AK-F-a-Filters'!$N$27:$N$35</definedName>
    <definedName name="Weight">#REF!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0" hidden="1">{"Data",#N/A,FALSE}</definedName>
    <definedName name="Wt_x_Mois" localSheetId="1">'AK-F-a01'!$Q$22:$Q$30</definedName>
    <definedName name="Wt_x_Mois" localSheetId="2">'AK-F-a09'!$Q$22:$Q$30</definedName>
    <definedName name="Wt_x_Mois" localSheetId="3">'AK-F-a10'!$Q$22:$Q$30</definedName>
    <definedName name="Wt_x_Mois" localSheetId="4">'AK-F-a11'!$Q$22:$Q$30</definedName>
    <definedName name="Wt_x_Mois" localSheetId="0">'AK-F-a-Filters'!$Q$27:$Q$35</definedName>
    <definedName name="Wt_x_Mois">#REF!</definedName>
    <definedName name="WtFuel" localSheetId="1">'AK-F-a01'!$C$5</definedName>
    <definedName name="WtFuel" localSheetId="2">'AK-F-a09'!$C$5</definedName>
    <definedName name="WtFuel" localSheetId="3">'AK-F-a10'!$C$5</definedName>
    <definedName name="WtFuel" localSheetId="4">'AK-F-a11'!$C$5</definedName>
    <definedName name="WtFuel" localSheetId="0">'AK-F-a-Filters'!$D$6</definedName>
    <definedName name="WtFuel">#REF!</definedName>
    <definedName name="WtKindl" localSheetId="1">'AK-F-a01'!$C$6</definedName>
    <definedName name="WtKindl" localSheetId="2">'AK-F-a09'!$C$6</definedName>
    <definedName name="WtKindl" localSheetId="3">'AK-F-a10'!$C$6</definedName>
    <definedName name="WtKindl" localSheetId="4">'AK-F-a11'!$C$6</definedName>
    <definedName name="WtKindl" localSheetId="0">'AK-F-a-Filters'!$D$7</definedName>
    <definedName name="WtKindl">#REF!</definedName>
    <definedName name="WtMois" localSheetId="1">'AK-F-a01'!$N$22:$O$30</definedName>
    <definedName name="WtMois" localSheetId="2">'AK-F-a09'!$N$22:$O$30</definedName>
    <definedName name="WtMois" localSheetId="3">'AK-F-a10'!$N$22:$O$30</definedName>
    <definedName name="WtMois" localSheetId="4">'AK-F-a11'!$N$22:$O$30</definedName>
    <definedName name="WtMois" localSheetId="0">'AK-F-a-Filters'!$N$27:$O$35</definedName>
    <definedName name="WtMois">#REF!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1" hidden="1">'AK-F-a01'!$D$37</definedName>
    <definedName name="Z_57BEBCA1_8813_480C_94D7_470CD47A2947_.wvu.PrintArea" localSheetId="2" hidden="1">'AK-F-a09'!$D$37</definedName>
    <definedName name="Z_57BEBCA1_8813_480C_94D7_470CD47A2947_.wvu.PrintArea" localSheetId="3" hidden="1">'AK-F-a10'!$D$37</definedName>
    <definedName name="Z_57BEBCA1_8813_480C_94D7_470CD47A2947_.wvu.PrintArea" localSheetId="4" hidden="1">'AK-F-a11'!$D$37</definedName>
    <definedName name="Z_57BEBCA1_8813_480C_94D7_470CD47A2947_.wvu.PrintArea" localSheetId="0" hidden="1">'AK-F-a-Filters'!$D$42</definedName>
    <definedName name="Z_82D1A4AE_0247_49B8_BE51_9D95D0C0023D_.wvu.PrintArea" localSheetId="1" hidden="1">'AK-F-a01'!$D$37</definedName>
    <definedName name="Z_82D1A4AE_0247_49B8_BE51_9D95D0C0023D_.wvu.PrintArea" localSheetId="2" hidden="1">'AK-F-a09'!$D$37</definedName>
    <definedName name="Z_82D1A4AE_0247_49B8_BE51_9D95D0C0023D_.wvu.PrintArea" localSheetId="3" hidden="1">'AK-F-a10'!$D$37</definedName>
    <definedName name="Z_82D1A4AE_0247_49B8_BE51_9D95D0C0023D_.wvu.PrintArea" localSheetId="4" hidden="1">'AK-F-a11'!$D$37</definedName>
    <definedName name="Z_82D1A4AE_0247_49B8_BE51_9D95D0C0023D_.wvu.PrintArea" localSheetId="0" hidden="1">'AK-F-a-Filters'!$D$42</definedName>
    <definedName name="Z_A894F482_78CE_424F_A012_76D0D845968F_.wvu.PrintArea" localSheetId="1" hidden="1">'AK-F-a01'!$D$37</definedName>
    <definedName name="Z_A894F482_78CE_424F_A012_76D0D845968F_.wvu.PrintArea" localSheetId="2" hidden="1">'AK-F-a09'!$D$37</definedName>
    <definedName name="Z_A894F482_78CE_424F_A012_76D0D845968F_.wvu.PrintArea" localSheetId="3" hidden="1">'AK-F-a10'!$D$37</definedName>
    <definedName name="Z_A894F482_78CE_424F_A012_76D0D845968F_.wvu.PrintArea" localSheetId="4" hidden="1">'AK-F-a11'!$D$37</definedName>
    <definedName name="Z_A894F482_78CE_424F_A012_76D0D845968F_.wvu.PrintArea" localSheetId="0" hidden="1">'AK-F-a-Filters'!$D$42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 64. Time to start from ignition: 1 minute.</t>
        </r>
      </text>
    </comment>
    <comment ref="E15" authorId="0">
      <text>
        <r>
          <rPr>
            <sz val="8"/>
            <rFont val="Tahoma"/>
            <family val="0"/>
          </rPr>
          <t>5: Brisk start.</t>
        </r>
      </text>
    </comment>
    <comment ref="E16" authorId="0">
      <text>
        <r>
          <rPr>
            <sz val="8"/>
            <rFont val="Tahoma"/>
            <family val="0"/>
          </rPr>
          <t>10: Whole pile ignited, toned down somewhat.</t>
        </r>
      </text>
    </comment>
    <comment ref="E17" authorId="0">
      <text>
        <r>
          <rPr>
            <sz val="8"/>
            <rFont val="Tahoma"/>
            <family val="0"/>
          </rPr>
          <t>15: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</t>
        </r>
      </text>
    </comment>
    <comment ref="E21" authorId="0">
      <text>
        <r>
          <rPr>
            <sz val="8"/>
            <rFont val="Tahoma"/>
            <family val="0"/>
          </rPr>
          <t>35: Nice brisk fire.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 Poke at 97.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 64. Time to start from ignition: 1 minute.</t>
        </r>
      </text>
    </comment>
    <comment ref="E15" authorId="0">
      <text>
        <r>
          <rPr>
            <sz val="8"/>
            <rFont val="Tahoma"/>
            <family val="0"/>
          </rPr>
          <t>5: Brisk start.</t>
        </r>
      </text>
    </comment>
    <comment ref="E16" authorId="0">
      <text>
        <r>
          <rPr>
            <sz val="8"/>
            <rFont val="Tahoma"/>
            <family val="0"/>
          </rPr>
          <t>10: Whole pile ignited, toned down somewhat.</t>
        </r>
      </text>
    </comment>
    <comment ref="E17" authorId="0">
      <text>
        <r>
          <rPr>
            <sz val="8"/>
            <rFont val="Tahoma"/>
            <family val="0"/>
          </rPr>
          <t>15: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</t>
        </r>
      </text>
    </comment>
    <comment ref="E21" authorId="0">
      <text>
        <r>
          <rPr>
            <sz val="8"/>
            <rFont val="Tahoma"/>
            <family val="0"/>
          </rPr>
          <t>35: Nice brisk fire.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 Poke at 97.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<sst xmlns="http://schemas.openxmlformats.org/spreadsheetml/2006/main" count="516" uniqueCount="236">
  <si>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</si>
  <si>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</si>
  <si>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</si>
  <si>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</si>
  <si>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</si>
  <si>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</si>
  <si>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</si>
  <si>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</si>
  <si>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</si>
  <si>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</si>
  <si>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</si>
  <si>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</si>
  <si>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</si>
  <si>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</si>
  <si>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</si>
  <si>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</si>
  <si>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</si>
  <si>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</si>
  <si>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</si>
  <si>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</si>
  <si>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</si>
  <si>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</si>
  <si>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</si>
  <si>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</si>
  <si>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</si>
  <si>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</si>
  <si>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</si>
  <si>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</si>
  <si>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</si>
  <si>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</si>
  <si>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</si>
  <si>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</si>
  <si>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</si>
  <si>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</si>
  <si>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</si>
  <si>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</si>
  <si>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</si>
  <si>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</si>
  <si>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</si>
  <si>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</si>
  <si>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</si>
  <si>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</si>
  <si>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</si>
  <si>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</si>
  <si>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</si>
  <si>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</si>
  <si>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</si>
  <si>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</si>
  <si>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</si>
  <si>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</si>
  <si>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</si>
  <si>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</si>
  <si>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</si>
  <si>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</si>
  <si>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</si>
  <si>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</si>
  <si>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</si>
  <si>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</si>
  <si>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</si>
  <si>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</si>
  <si>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</si>
  <si>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</si>
  <si>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</si>
  <si>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</si>
  <si>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</si>
  <si>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</si>
  <si>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</si>
  <si>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</si>
  <si>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</si>
  <si>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Revised Mar 4/05</t>
  </si>
  <si>
    <t>HEATER ID</t>
  </si>
  <si>
    <t>Heater ID</t>
  </si>
  <si>
    <t>AK01-01</t>
  </si>
  <si>
    <t>AK-F-a</t>
  </si>
  <si>
    <t>cold</t>
  </si>
  <si>
    <t>whBirch</t>
  </si>
  <si>
    <t>TeePee</t>
  </si>
  <si>
    <t xml:space="preserve">Run </t>
  </si>
  <si>
    <t>Catch</t>
  </si>
  <si>
    <t>Reweigh - dessicated</t>
  </si>
  <si>
    <t>a01</t>
  </si>
  <si>
    <t>a03</t>
  </si>
  <si>
    <t>F01</t>
  </si>
  <si>
    <t>F02</t>
  </si>
  <si>
    <t>A03</t>
  </si>
  <si>
    <t>A04</t>
  </si>
  <si>
    <t>B03</t>
  </si>
  <si>
    <t>B04</t>
  </si>
  <si>
    <t>A05</t>
  </si>
  <si>
    <t>A06</t>
  </si>
  <si>
    <t>B05</t>
  </si>
  <si>
    <t>B06</t>
  </si>
  <si>
    <t>a04</t>
  </si>
  <si>
    <t>A07</t>
  </si>
  <si>
    <t>A08</t>
  </si>
  <si>
    <t>B07</t>
  </si>
  <si>
    <t>B08</t>
  </si>
  <si>
    <t>a05</t>
  </si>
  <si>
    <t>A09</t>
  </si>
  <si>
    <t>A10</t>
  </si>
  <si>
    <t>B09</t>
  </si>
  <si>
    <t>B10</t>
  </si>
  <si>
    <t>Date</t>
  </si>
  <si>
    <t>Reweigh-normal</t>
  </si>
  <si>
    <t>Blank</t>
  </si>
  <si>
    <t>Blank#2</t>
  </si>
  <si>
    <t>Total Catch</t>
  </si>
  <si>
    <t>Ratio</t>
  </si>
  <si>
    <t>a06</t>
  </si>
  <si>
    <t>a07</t>
  </si>
  <si>
    <t>A11</t>
  </si>
  <si>
    <t>A12</t>
  </si>
  <si>
    <t>B11</t>
  </si>
  <si>
    <t>B12</t>
  </si>
  <si>
    <t>a02</t>
  </si>
  <si>
    <t>A13</t>
  </si>
  <si>
    <t>A14</t>
  </si>
  <si>
    <t>B13</t>
  </si>
  <si>
    <t>B14</t>
  </si>
  <si>
    <t>filters measured fresh</t>
  </si>
  <si>
    <t>Condars locations reversed</t>
  </si>
  <si>
    <t>J01</t>
  </si>
  <si>
    <t>J02</t>
  </si>
  <si>
    <t>JS01</t>
  </si>
  <si>
    <t>JS02</t>
  </si>
  <si>
    <t>C01</t>
  </si>
  <si>
    <t>C02</t>
  </si>
  <si>
    <t>M01</t>
  </si>
  <si>
    <t>M02</t>
  </si>
  <si>
    <t>J03</t>
  </si>
  <si>
    <t>J04</t>
  </si>
  <si>
    <t>JS03</t>
  </si>
  <si>
    <t>JS04</t>
  </si>
  <si>
    <t>C03</t>
  </si>
  <si>
    <t>C04</t>
  </si>
  <si>
    <t>M03</t>
  </si>
  <si>
    <t>J05</t>
  </si>
  <si>
    <t>J06</t>
  </si>
  <si>
    <t>JS05</t>
  </si>
  <si>
    <t>JS06</t>
  </si>
  <si>
    <t>C05</t>
  </si>
  <si>
    <t>C06</t>
  </si>
  <si>
    <t>M05</t>
  </si>
  <si>
    <t>M06</t>
  </si>
  <si>
    <t>J07</t>
  </si>
  <si>
    <t>J08</t>
  </si>
  <si>
    <t>JS07</t>
  </si>
  <si>
    <t>JS08</t>
  </si>
  <si>
    <t>C07</t>
  </si>
  <si>
    <t>C08</t>
  </si>
  <si>
    <t>M07</t>
  </si>
  <si>
    <t>M08</t>
  </si>
  <si>
    <t>J09</t>
  </si>
  <si>
    <t>J10</t>
  </si>
  <si>
    <t>JS09</t>
  </si>
  <si>
    <t>JS10</t>
  </si>
  <si>
    <t>C09</t>
  </si>
  <si>
    <t>C10</t>
  </si>
  <si>
    <t>M09</t>
  </si>
  <si>
    <t>M10</t>
  </si>
  <si>
    <t>leak</t>
  </si>
  <si>
    <t>October 28/07</t>
  </si>
  <si>
    <t>vert crib</t>
  </si>
  <si>
    <t>DFir2x2</t>
  </si>
  <si>
    <t>vertical crib</t>
  </si>
  <si>
    <t>2x2  3 wide 4 deep</t>
  </si>
  <si>
    <t>1/2" spacers</t>
  </si>
  <si>
    <t>October 27/07</t>
  </si>
  <si>
    <t>Dfir</t>
  </si>
  <si>
    <t>AK-F-a10</t>
  </si>
  <si>
    <t>AK-F-a09</t>
  </si>
  <si>
    <t>Oct 27/07</t>
  </si>
  <si>
    <t>Birch</t>
  </si>
  <si>
    <t>Vertical</t>
  </si>
  <si>
    <t>Front ignition</t>
  </si>
  <si>
    <t>Oct 28/07</t>
  </si>
  <si>
    <t>J11</t>
  </si>
  <si>
    <t>J12</t>
  </si>
  <si>
    <t>JS11</t>
  </si>
  <si>
    <t>JS12</t>
  </si>
  <si>
    <t>C11</t>
  </si>
  <si>
    <t>C12</t>
  </si>
  <si>
    <t>M11</t>
  </si>
  <si>
    <t>M12</t>
  </si>
  <si>
    <t>Oct 29/07</t>
  </si>
  <si>
    <t>J13</t>
  </si>
  <si>
    <t>J14</t>
  </si>
  <si>
    <t>JS13</t>
  </si>
  <si>
    <t>JS14</t>
  </si>
  <si>
    <t>C13</t>
  </si>
  <si>
    <t>C14</t>
  </si>
  <si>
    <t>M13</t>
  </si>
  <si>
    <t>M14</t>
  </si>
  <si>
    <t>Oct 30/07</t>
  </si>
  <si>
    <t>J15</t>
  </si>
  <si>
    <t>J16</t>
  </si>
  <si>
    <t>JS15</t>
  </si>
  <si>
    <t>JS16</t>
  </si>
  <si>
    <t>C15</t>
  </si>
  <si>
    <t>C16</t>
  </si>
  <si>
    <t>M15</t>
  </si>
  <si>
    <t>M16</t>
  </si>
  <si>
    <t>J17</t>
  </si>
  <si>
    <t>J18</t>
  </si>
  <si>
    <t>JS17</t>
  </si>
  <si>
    <t>JS18</t>
  </si>
  <si>
    <t>C17</t>
  </si>
  <si>
    <t>C18</t>
  </si>
  <si>
    <t>M17</t>
  </si>
  <si>
    <t>M18</t>
  </si>
  <si>
    <t>Oct 31/07</t>
  </si>
  <si>
    <t>C19</t>
  </si>
  <si>
    <t>C20</t>
  </si>
  <si>
    <t>M19</t>
  </si>
  <si>
    <t>M20</t>
  </si>
  <si>
    <t>C21</t>
  </si>
  <si>
    <t>C22</t>
  </si>
  <si>
    <t>M21</t>
  </si>
  <si>
    <t>M22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</si>
  <si>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</si>
  <si>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</si>
  <si>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</si>
  <si>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</si>
  <si>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</si>
  <si>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</si>
  <si>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</si>
  <si>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</si>
  <si>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</si>
  <si>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Filters for AK Heater series a, CCHRC - October 2007</t>
  </si>
  <si>
    <t>test to confirm that glass filters don't</t>
  </si>
  <si>
    <t>require dessication in a dry climate</t>
  </si>
  <si>
    <r>
      <t xml:space="preserve">4 Condars. </t>
    </r>
    <r>
      <rPr>
        <b/>
        <sz val="10"/>
        <rFont val="Helv"/>
        <family val="0"/>
      </rPr>
      <t>Key:</t>
    </r>
    <r>
      <rPr>
        <sz val="10"/>
        <rFont val="Helv"/>
        <family val="0"/>
      </rPr>
      <t xml:space="preserve"> (Runs A-08 - A16): </t>
    </r>
    <r>
      <rPr>
        <b/>
        <sz val="10"/>
        <rFont val="Helv"/>
        <family val="0"/>
      </rPr>
      <t>J</t>
    </r>
    <r>
      <rPr>
        <sz val="10"/>
        <rFont val="Helv"/>
        <family val="0"/>
      </rPr>
      <t xml:space="preserve">= Jerry's original </t>
    </r>
    <r>
      <rPr>
        <b/>
        <sz val="10"/>
        <rFont val="Helv"/>
        <family val="0"/>
      </rPr>
      <t>JS</t>
    </r>
    <r>
      <rPr>
        <sz val="10"/>
        <rFont val="Helv"/>
        <family val="0"/>
      </rPr>
      <t xml:space="preserve">=Jerry's spare </t>
    </r>
    <r>
      <rPr>
        <b/>
        <sz val="10"/>
        <rFont val="Helv"/>
        <family val="0"/>
      </rPr>
      <t>C</t>
    </r>
    <r>
      <rPr>
        <sz val="10"/>
        <rFont val="Helv"/>
        <family val="0"/>
      </rPr>
      <t xml:space="preserve">=CCHRC </t>
    </r>
    <r>
      <rPr>
        <b/>
        <sz val="10"/>
        <rFont val="Helv"/>
        <family val="0"/>
      </rPr>
      <t>M</t>
    </r>
    <r>
      <rPr>
        <sz val="10"/>
        <rFont val="Helv"/>
        <family val="0"/>
      </rPr>
      <t>=MHA</t>
    </r>
  </si>
  <si>
    <t>per set</t>
  </si>
  <si>
    <t>of filters</t>
  </si>
  <si>
    <t>Ave catch</t>
  </si>
  <si>
    <t>Deviation of each Condar from the average catch (X100 = percentage)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</si>
</sst>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mm/dd/yyyy\ h:mm:ss\ 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6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9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4" fillId="0" borderId="0">
      <alignment/>
      <protection/>
    </xf>
    <xf numFmtId="1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75" fontId="4" fillId="0" borderId="0">
      <alignment/>
      <protection/>
    </xf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1" fontId="4" fillId="7" borderId="4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Continuous"/>
    </xf>
    <xf numFmtId="0" fontId="0" fillId="7" borderId="4" xfId="0" applyFill="1" applyBorder="1" applyAlignment="1">
      <alignment horizontal="center"/>
    </xf>
    <xf numFmtId="0" fontId="16" fillId="0" borderId="0" xfId="0" applyFont="1" applyAlignment="1">
      <alignment/>
    </xf>
    <xf numFmtId="16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7" borderId="0" xfId="0" applyNumberFormat="1" applyFill="1" applyAlignment="1">
      <alignment/>
    </xf>
    <xf numFmtId="0" fontId="0" fillId="7" borderId="6" xfId="0" applyFill="1" applyBorder="1" applyAlignment="1">
      <alignment/>
    </xf>
    <xf numFmtId="173" fontId="0" fillId="7" borderId="6" xfId="0" applyNumberFormat="1" applyFill="1" applyBorder="1" applyAlignment="1">
      <alignment/>
    </xf>
    <xf numFmtId="173" fontId="0" fillId="7" borderId="6" xfId="0" applyNumberFormat="1" applyFill="1" applyBorder="1" applyAlignment="1">
      <alignment horizontal="center"/>
    </xf>
    <xf numFmtId="1" fontId="4" fillId="0" borderId="0" xfId="26">
      <alignment/>
      <protection/>
    </xf>
    <xf numFmtId="1" fontId="4" fillId="0" borderId="0" xfId="27">
      <alignment/>
      <protection/>
    </xf>
    <xf numFmtId="1" fontId="4" fillId="0" borderId="0" xfId="21" applyFont="1">
      <alignment/>
      <protection/>
    </xf>
    <xf numFmtId="1" fontId="4" fillId="0" borderId="0" xfId="27" applyFont="1">
      <alignment/>
      <protection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0" fillId="7" borderId="13" xfId="0" applyNumberFormat="1" applyFill="1" applyBorder="1" applyAlignment="1">
      <alignment/>
    </xf>
    <xf numFmtId="173" fontId="0" fillId="0" borderId="13" xfId="0" applyNumberFormat="1" applyBorder="1" applyAlignment="1">
      <alignment/>
    </xf>
    <xf numFmtId="0" fontId="0" fillId="4" borderId="0" xfId="0" applyFill="1" applyAlignment="1">
      <alignment/>
    </xf>
    <xf numFmtId="173" fontId="0" fillId="4" borderId="0" xfId="0" applyNumberForma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15">
    <cellStyle name="Normal" xfId="0"/>
    <cellStyle name="Comma" xfId="15"/>
    <cellStyle name="Currency" xfId="16"/>
    <cellStyle name="Followed Hyperlink" xfId="17"/>
    <cellStyle name="Hyperlink" xfId="18"/>
    <cellStyle name="Percent" xfId="19"/>
    <cellStyle name="Style1" xfId="20"/>
    <cellStyle name="Style10" xfId="21"/>
    <cellStyle name="Style2" xfId="22"/>
    <cellStyle name="Style3" xfId="23"/>
    <cellStyle name="Style4" xfId="24"/>
    <cellStyle name="Style5" xfId="25"/>
    <cellStyle name="Style6" xfId="26"/>
    <cellStyle name="Style7" xfId="27"/>
    <cellStyle name="StyleDat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'AK-F-a01'!$F$13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'AK-F-a01'!$E$14:$E$38</c:f>
              <c:numCache/>
            </c:numRef>
          </c:cat>
          <c:val>
            <c:numRef>
              <c:f>'AK-F-a01'!$F$14:$F$38</c:f>
              <c:numCache/>
            </c:numRef>
          </c:val>
          <c:smooth val="0"/>
        </c:ser>
        <c:ser>
          <c:idx val="1"/>
          <c:order val="1"/>
          <c:tx>
            <c:strRef>
              <c:f>'AK-F-a01'!$H$13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'AK-F-a01'!$E$14:$E$38</c:f>
              <c:numCache/>
            </c:numRef>
          </c:cat>
          <c:val>
            <c:numRef>
              <c:f>'AK-F-a01'!$H$14:$H$38</c:f>
              <c:numCache/>
            </c:numRef>
          </c:val>
          <c:smooth val="0"/>
        </c:ser>
        <c:ser>
          <c:idx val="2"/>
          <c:order val="2"/>
          <c:tx>
            <c:strRef>
              <c:f>'AK-F-a01'!$I$13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'AK-F-a01'!$E$14:$E$38</c:f>
              <c:numCache/>
            </c:numRef>
          </c:cat>
          <c:val>
            <c:numRef>
              <c:f>'AK-F-a01'!$I$14:$I$38</c:f>
              <c:numCache/>
            </c:numRef>
          </c:val>
          <c:smooth val="0"/>
        </c:ser>
        <c:ser>
          <c:idx val="3"/>
          <c:order val="3"/>
          <c:tx>
            <c:strRef>
              <c:f>'AK-F-a01'!$J$13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'AK-F-a01'!$E$14:$E$38</c:f>
              <c:numCache/>
            </c:numRef>
          </c:cat>
          <c:val>
            <c:numRef>
              <c:f>'AK-F-a01'!$J$14:$J$38</c:f>
              <c:numCache/>
            </c:numRef>
          </c:val>
          <c:smooth val="0"/>
        </c:ser>
        <c:marker val="1"/>
        <c:axId val="45477698"/>
        <c:axId val="43784827"/>
      </c:lineChart>
      <c:catAx>
        <c:axId val="4547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3784827"/>
        <c:crosses val="autoZero"/>
        <c:auto val="0"/>
        <c:lblOffset val="100"/>
        <c:tickLblSkip val="2"/>
        <c:noMultiLvlLbl val="0"/>
      </c:catAx>
      <c:valAx>
        <c:axId val="43784827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5477698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'AK-F-a09'!$F$13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'AK-F-a09'!$E$14:$E$38</c:f>
              <c:numCache/>
            </c:numRef>
          </c:cat>
          <c:val>
            <c:numRef>
              <c:f>'AK-F-a09'!$F$14:$F$38</c:f>
              <c:numCache/>
            </c:numRef>
          </c:val>
          <c:smooth val="0"/>
        </c:ser>
        <c:ser>
          <c:idx val="1"/>
          <c:order val="1"/>
          <c:tx>
            <c:strRef>
              <c:f>'AK-F-a09'!$H$13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'AK-F-a09'!$E$14:$E$38</c:f>
              <c:numCache/>
            </c:numRef>
          </c:cat>
          <c:val>
            <c:numRef>
              <c:f>'AK-F-a09'!$H$14:$H$38</c:f>
              <c:numCache/>
            </c:numRef>
          </c:val>
          <c:smooth val="0"/>
        </c:ser>
        <c:ser>
          <c:idx val="2"/>
          <c:order val="2"/>
          <c:tx>
            <c:strRef>
              <c:f>'AK-F-a09'!$I$13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'AK-F-a09'!$E$14:$E$38</c:f>
              <c:numCache/>
            </c:numRef>
          </c:cat>
          <c:val>
            <c:numRef>
              <c:f>'AK-F-a09'!$G$14:$G$38</c:f>
              <c:numCache/>
            </c:numRef>
          </c:val>
          <c:smooth val="0"/>
        </c:ser>
        <c:ser>
          <c:idx val="3"/>
          <c:order val="3"/>
          <c:tx>
            <c:strRef>
              <c:f>'AK-F-a09'!$J$13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'AK-F-a09'!$E$14:$E$38</c:f>
              <c:numCache/>
            </c:numRef>
          </c:cat>
          <c:val>
            <c:numRef>
              <c:f>'AK-F-a09'!$J$14:$J$38</c:f>
              <c:numCache/>
            </c:numRef>
          </c:val>
          <c:smooth val="0"/>
        </c:ser>
        <c:marker val="1"/>
        <c:axId val="61800432"/>
        <c:axId val="47382065"/>
      </c:lineChart>
      <c:catAx>
        <c:axId val="61800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7382065"/>
        <c:crosses val="autoZero"/>
        <c:auto val="0"/>
        <c:lblOffset val="100"/>
        <c:tickLblSkip val="2"/>
        <c:noMultiLvlLbl val="0"/>
      </c:catAx>
      <c:valAx>
        <c:axId val="4738206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1800432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'AK-F-a10'!$F$13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'AK-F-a10'!$E$14:$E$38</c:f>
              <c:numCache/>
            </c:numRef>
          </c:cat>
          <c:val>
            <c:numRef>
              <c:f>'AK-F-a10'!$F$14:$F$38</c:f>
              <c:numCache/>
            </c:numRef>
          </c:val>
          <c:smooth val="0"/>
        </c:ser>
        <c:ser>
          <c:idx val="1"/>
          <c:order val="1"/>
          <c:tx>
            <c:strRef>
              <c:f>'AK-F-a10'!$H$13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'AK-F-a10'!$E$14:$E$38</c:f>
              <c:numCache/>
            </c:numRef>
          </c:cat>
          <c:val>
            <c:numRef>
              <c:f>'AK-F-a10'!$H$14:$H$38</c:f>
              <c:numCache/>
            </c:numRef>
          </c:val>
          <c:smooth val="0"/>
        </c:ser>
        <c:ser>
          <c:idx val="2"/>
          <c:order val="2"/>
          <c:tx>
            <c:strRef>
              <c:f>'AK-F-a10'!$I$13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'AK-F-a10'!$E$14:$E$38</c:f>
              <c:numCache/>
            </c:numRef>
          </c:cat>
          <c:val>
            <c:numRef>
              <c:f>'AK-F-a10'!$G$14:$G$38</c:f>
              <c:numCache/>
            </c:numRef>
          </c:val>
          <c:smooth val="0"/>
        </c:ser>
        <c:ser>
          <c:idx val="3"/>
          <c:order val="3"/>
          <c:tx>
            <c:strRef>
              <c:f>'AK-F-a10'!$J$13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'AK-F-a10'!$E$14:$E$38</c:f>
              <c:numCache/>
            </c:numRef>
          </c:cat>
          <c:val>
            <c:numRef>
              <c:f>'AK-F-a10'!$J$14:$J$38</c:f>
              <c:numCache/>
            </c:numRef>
          </c:val>
          <c:smooth val="0"/>
        </c:ser>
        <c:marker val="1"/>
        <c:axId val="31902606"/>
        <c:axId val="52760343"/>
      </c:lineChart>
      <c:catAx>
        <c:axId val="31902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2760343"/>
        <c:crosses val="autoZero"/>
        <c:auto val="0"/>
        <c:lblOffset val="100"/>
        <c:tickLblSkip val="2"/>
        <c:noMultiLvlLbl val="0"/>
      </c:catAx>
      <c:valAx>
        <c:axId val="52760343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1902606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'AK-F-a11'!$F$13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'AK-F-a11'!$E$14:$E$38</c:f>
              <c:numCache/>
            </c:numRef>
          </c:cat>
          <c:val>
            <c:numRef>
              <c:f>'AK-F-a11'!$F$14:$F$38</c:f>
              <c:numCache/>
            </c:numRef>
          </c:val>
          <c:smooth val="0"/>
        </c:ser>
        <c:ser>
          <c:idx val="1"/>
          <c:order val="1"/>
          <c:tx>
            <c:strRef>
              <c:f>'AK-F-a11'!$H$13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'AK-F-a11'!$E$14:$E$38</c:f>
              <c:numCache/>
            </c:numRef>
          </c:cat>
          <c:val>
            <c:numRef>
              <c:f>'AK-F-a11'!$H$14:$H$38</c:f>
              <c:numCache/>
            </c:numRef>
          </c:val>
          <c:smooth val="0"/>
        </c:ser>
        <c:ser>
          <c:idx val="2"/>
          <c:order val="2"/>
          <c:tx>
            <c:strRef>
              <c:f>'AK-F-a11'!$I$13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'AK-F-a11'!$E$14:$E$38</c:f>
              <c:numCache/>
            </c:numRef>
          </c:cat>
          <c:val>
            <c:numRef>
              <c:f>'AK-F-a11'!$I$14:$I$38</c:f>
              <c:numCache/>
            </c:numRef>
          </c:val>
          <c:smooth val="0"/>
        </c:ser>
        <c:ser>
          <c:idx val="3"/>
          <c:order val="3"/>
          <c:tx>
            <c:strRef>
              <c:f>'AK-F-a11'!$J$13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'AK-F-a11'!$E$14:$E$38</c:f>
              <c:numCache/>
            </c:numRef>
          </c:cat>
          <c:val>
            <c:numRef>
              <c:f>'AK-F-a11'!$J$14:$J$38</c:f>
              <c:numCache/>
            </c:numRef>
          </c:val>
          <c:smooth val="0"/>
        </c:ser>
        <c:marker val="1"/>
        <c:axId val="53654940"/>
        <c:axId val="12489389"/>
      </c:lineChart>
      <c:catAx>
        <c:axId val="53654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2489389"/>
        <c:crosses val="autoZero"/>
        <c:auto val="0"/>
        <c:lblOffset val="100"/>
        <c:tickLblSkip val="2"/>
        <c:noMultiLvlLbl val="0"/>
      </c:catAx>
      <c:valAx>
        <c:axId val="12489389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3654940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10601325" y="142875"/>
        <a:ext cx="4000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1">
      <selection activeCell="L20" sqref="L20"/>
    </sheetView>
  </sheetViews>
  <sheetFormatPr defaultColWidth="9.140625" defaultRowHeight="12.75" outlineLevelRow="1" outlineLevelCol="1"/>
  <cols>
    <col min="1" max="3" width="9.140625" style="0" customWidth="1" outlineLevel="1"/>
    <col min="4" max="4" width="9.140625" style="108" customWidth="1" outlineLevel="1"/>
    <col min="5" max="7" width="9.140625" style="108" customWidth="1"/>
    <col min="8" max="8" width="11.7109375" style="108" customWidth="1"/>
    <col min="9" max="9" width="10.28125" style="108" customWidth="1"/>
    <col min="10" max="10" width="11.28125" style="0" customWidth="1"/>
  </cols>
  <sheetData>
    <row r="1" ht="19.5" outlineLevel="1">
      <c r="A1" s="106" t="s">
        <v>228</v>
      </c>
    </row>
    <row r="2" ht="14.25" customHeight="1" outlineLevel="1">
      <c r="A2" s="106"/>
    </row>
    <row r="3" spans="1:9" s="117" customFormat="1" ht="17.25" customHeight="1" outlineLevel="1">
      <c r="A3" s="117" t="s">
        <v>231</v>
      </c>
      <c r="D3" s="118"/>
      <c r="E3" s="118"/>
      <c r="F3" s="118"/>
      <c r="G3" s="118"/>
      <c r="H3" s="118"/>
      <c r="I3" s="118"/>
    </row>
    <row r="4" ht="12.75" outlineLevel="1"/>
    <row r="5" spans="1:12" s="110" customFormat="1" ht="12.75" outlineLevel="1">
      <c r="A5" s="110" t="s">
        <v>102</v>
      </c>
      <c r="B5" s="110" t="s">
        <v>77</v>
      </c>
      <c r="C5" s="110" t="s">
        <v>55</v>
      </c>
      <c r="D5" s="111" t="s">
        <v>56</v>
      </c>
      <c r="E5" s="111" t="s">
        <v>57</v>
      </c>
      <c r="F5" s="111" t="s">
        <v>78</v>
      </c>
      <c r="G5" s="111" t="s">
        <v>106</v>
      </c>
      <c r="H5" s="112" t="s">
        <v>107</v>
      </c>
      <c r="I5" s="111"/>
      <c r="L5" s="111" t="s">
        <v>103</v>
      </c>
    </row>
    <row r="6" spans="1:12" ht="12.75" outlineLevel="1">
      <c r="A6" s="107">
        <v>39376</v>
      </c>
      <c r="B6" t="s">
        <v>80</v>
      </c>
      <c r="C6" t="s">
        <v>82</v>
      </c>
      <c r="D6" s="108">
        <v>1.0354</v>
      </c>
      <c r="E6" s="108">
        <v>1.099</v>
      </c>
      <c r="F6" s="108">
        <f>E6-D6</f>
        <v>0.06359999999999988</v>
      </c>
      <c r="J6" s="108"/>
      <c r="K6" s="108"/>
      <c r="L6" s="108">
        <v>1.099</v>
      </c>
    </row>
    <row r="7" spans="3:12" ht="12.75" outlineLevel="1">
      <c r="C7" t="s">
        <v>83</v>
      </c>
      <c r="D7" s="108">
        <v>1.0394</v>
      </c>
      <c r="E7" s="108">
        <v>1.0435</v>
      </c>
      <c r="F7" s="108">
        <f aca="true" t="shared" si="0" ref="F7:F129">E7-D7</f>
        <v>0.0040999999999999925</v>
      </c>
      <c r="G7" s="108">
        <f>F6+F7</f>
        <v>0.06769999999999987</v>
      </c>
      <c r="J7" s="108"/>
      <c r="K7" s="108"/>
      <c r="L7" s="108">
        <v>1.0435</v>
      </c>
    </row>
    <row r="8" spans="4:12" s="38" customFormat="1" ht="12.75" outlineLevel="1"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2.75" outlineLevel="1">
      <c r="A9" s="107">
        <v>39377</v>
      </c>
      <c r="B9" t="s">
        <v>114</v>
      </c>
      <c r="C9" t="s">
        <v>84</v>
      </c>
      <c r="D9" s="108">
        <v>1.0343</v>
      </c>
      <c r="E9" s="108">
        <v>1.1392</v>
      </c>
      <c r="F9" s="108">
        <f t="shared" si="0"/>
        <v>0.1049</v>
      </c>
      <c r="J9" s="108"/>
      <c r="K9" s="108"/>
      <c r="L9" s="108"/>
    </row>
    <row r="10" spans="3:12" ht="12.75" outlineLevel="1">
      <c r="C10" t="s">
        <v>85</v>
      </c>
      <c r="D10" s="108">
        <v>1.0356</v>
      </c>
      <c r="E10" s="108">
        <v>1.0381</v>
      </c>
      <c r="F10" s="108">
        <f t="shared" si="0"/>
        <v>0.0024999999999999467</v>
      </c>
      <c r="G10" s="108">
        <f>F9+F10</f>
        <v>0.10739999999999994</v>
      </c>
      <c r="J10" s="108"/>
      <c r="K10" s="108"/>
      <c r="L10" s="108"/>
    </row>
    <row r="11" spans="3:12" ht="12.75" outlineLevel="1">
      <c r="C11" t="s">
        <v>86</v>
      </c>
      <c r="D11" s="108">
        <v>1.0365</v>
      </c>
      <c r="E11" s="108">
        <v>1.1243</v>
      </c>
      <c r="F11" s="108">
        <f t="shared" si="0"/>
        <v>0.0878000000000001</v>
      </c>
      <c r="J11" s="108"/>
      <c r="K11" s="108"/>
      <c r="L11" s="108"/>
    </row>
    <row r="12" spans="3:12" ht="12.75" outlineLevel="1">
      <c r="C12" t="s">
        <v>87</v>
      </c>
      <c r="D12" s="108">
        <v>1.0386</v>
      </c>
      <c r="E12" s="108">
        <v>1.0415</v>
      </c>
      <c r="F12" s="108">
        <f t="shared" si="0"/>
        <v>0.0029000000000001247</v>
      </c>
      <c r="G12" s="108">
        <f>F11+F12</f>
        <v>0.09070000000000022</v>
      </c>
      <c r="H12" s="108">
        <f>G10/G12</f>
        <v>1.1841234840132269</v>
      </c>
      <c r="J12" s="108"/>
      <c r="K12" s="108"/>
      <c r="L12" s="108"/>
    </row>
    <row r="13" spans="3:12" s="38" customFormat="1" ht="12.75" outlineLevel="1">
      <c r="C13" s="38" t="s">
        <v>104</v>
      </c>
      <c r="D13" s="109">
        <v>1.0357</v>
      </c>
      <c r="E13" s="109">
        <v>1.0362</v>
      </c>
      <c r="F13" s="109">
        <f t="shared" si="0"/>
        <v>0.0004999999999999449</v>
      </c>
      <c r="G13" s="109"/>
      <c r="H13" s="109"/>
      <c r="I13" s="109"/>
      <c r="J13" s="111" t="s">
        <v>79</v>
      </c>
      <c r="K13" s="111"/>
      <c r="L13" s="109"/>
    </row>
    <row r="14" spans="1:12" ht="12.75" outlineLevel="1">
      <c r="A14" s="107">
        <v>39378</v>
      </c>
      <c r="B14" t="s">
        <v>81</v>
      </c>
      <c r="C14" t="s">
        <v>88</v>
      </c>
      <c r="D14" s="108">
        <v>1.0345</v>
      </c>
      <c r="E14" s="108">
        <v>1.1092</v>
      </c>
      <c r="F14" s="108">
        <f t="shared" si="0"/>
        <v>0.07469999999999999</v>
      </c>
      <c r="J14" s="108">
        <v>1.1091</v>
      </c>
      <c r="K14" s="108"/>
      <c r="L14" s="108"/>
    </row>
    <row r="15" spans="3:12" ht="12.75" outlineLevel="1">
      <c r="C15" t="s">
        <v>89</v>
      </c>
      <c r="D15" s="108">
        <v>1.0371</v>
      </c>
      <c r="E15" s="108">
        <v>1.0386</v>
      </c>
      <c r="F15" s="108">
        <f t="shared" si="0"/>
        <v>0.0015000000000000568</v>
      </c>
      <c r="G15" s="108">
        <f>F14+F15</f>
        <v>0.07620000000000005</v>
      </c>
      <c r="J15" s="108">
        <v>1.039</v>
      </c>
      <c r="K15" s="108"/>
      <c r="L15" s="108" t="s">
        <v>229</v>
      </c>
    </row>
    <row r="16" spans="3:12" ht="12.75">
      <c r="C16" t="s">
        <v>90</v>
      </c>
      <c r="D16" s="108">
        <v>1.0371</v>
      </c>
      <c r="E16" s="108">
        <v>1.09</v>
      </c>
      <c r="F16" s="108">
        <f t="shared" si="0"/>
        <v>0.05290000000000017</v>
      </c>
      <c r="J16" s="108">
        <v>1.0897</v>
      </c>
      <c r="K16" s="108"/>
      <c r="L16" s="108" t="s">
        <v>230</v>
      </c>
    </row>
    <row r="17" spans="3:12" ht="12.75">
      <c r="C17" t="s">
        <v>91</v>
      </c>
      <c r="D17" s="108">
        <v>1.0325</v>
      </c>
      <c r="E17" s="108">
        <v>1.0331</v>
      </c>
      <c r="F17" s="108">
        <f t="shared" si="0"/>
        <v>0.0005999999999999339</v>
      </c>
      <c r="G17" s="108">
        <f>F16+F17</f>
        <v>0.0535000000000001</v>
      </c>
      <c r="H17" s="108">
        <f>G15/G17</f>
        <v>1.424299065420559</v>
      </c>
      <c r="J17" s="108">
        <v>1.033</v>
      </c>
      <c r="K17" s="108"/>
      <c r="L17" s="108"/>
    </row>
    <row r="18" spans="3:9" s="38" customFormat="1" ht="12.75">
      <c r="C18" s="38" t="s">
        <v>104</v>
      </c>
      <c r="D18" s="109">
        <v>1.0365</v>
      </c>
      <c r="E18" s="109"/>
      <c r="F18" s="109">
        <f t="shared" si="0"/>
        <v>-1.0365</v>
      </c>
      <c r="G18" s="109"/>
      <c r="H18" s="109"/>
      <c r="I18" s="109"/>
    </row>
    <row r="19" spans="1:6" ht="12.75">
      <c r="A19" s="107">
        <v>39378</v>
      </c>
      <c r="B19" t="s">
        <v>92</v>
      </c>
      <c r="C19" t="s">
        <v>93</v>
      </c>
      <c r="D19" s="108">
        <v>1.0387</v>
      </c>
      <c r="E19" s="108">
        <v>1.079</v>
      </c>
      <c r="F19" s="108">
        <f t="shared" si="0"/>
        <v>0.0403</v>
      </c>
    </row>
    <row r="20" spans="3:7" ht="12.75">
      <c r="C20" t="s">
        <v>94</v>
      </c>
      <c r="D20" s="108">
        <v>1.0373</v>
      </c>
      <c r="E20" s="108">
        <v>1.0377</v>
      </c>
      <c r="F20" s="108">
        <f t="shared" si="0"/>
        <v>0.00039999999999995595</v>
      </c>
      <c r="G20" s="108">
        <f>F19+F20</f>
        <v>0.04069999999999996</v>
      </c>
    </row>
    <row r="21" spans="3:6" ht="12.75">
      <c r="C21" t="s">
        <v>95</v>
      </c>
      <c r="D21" s="108">
        <v>1.033</v>
      </c>
      <c r="E21" s="108">
        <v>1.054</v>
      </c>
      <c r="F21" s="108">
        <f t="shared" si="0"/>
        <v>0.02100000000000013</v>
      </c>
    </row>
    <row r="22" spans="3:8" ht="12.75">
      <c r="C22" t="s">
        <v>96</v>
      </c>
      <c r="D22" s="108">
        <v>1.0303</v>
      </c>
      <c r="E22" s="108">
        <v>1.0308</v>
      </c>
      <c r="F22" s="108">
        <f t="shared" si="0"/>
        <v>0.0004999999999999449</v>
      </c>
      <c r="G22" s="108">
        <f>F21+F22</f>
        <v>0.021500000000000075</v>
      </c>
      <c r="H22" s="108">
        <f>G20/G22</f>
        <v>1.893023255813945</v>
      </c>
    </row>
    <row r="23" spans="3:9" s="38" customFormat="1" ht="12.75">
      <c r="C23" s="38" t="s">
        <v>104</v>
      </c>
      <c r="D23" s="109"/>
      <c r="E23" s="109"/>
      <c r="F23" s="109">
        <f t="shared" si="0"/>
        <v>0</v>
      </c>
      <c r="G23" s="109"/>
      <c r="H23" s="109"/>
      <c r="I23" s="109"/>
    </row>
    <row r="24" spans="1:6" ht="12.75">
      <c r="A24" s="107">
        <v>39379</v>
      </c>
      <c r="B24" t="s">
        <v>97</v>
      </c>
      <c r="C24" t="s">
        <v>98</v>
      </c>
      <c r="D24" s="108">
        <v>1.037</v>
      </c>
      <c r="E24" s="108">
        <v>1.091</v>
      </c>
      <c r="F24" s="108">
        <f t="shared" si="0"/>
        <v>0.05400000000000005</v>
      </c>
    </row>
    <row r="25" spans="3:7" ht="12.75">
      <c r="C25" t="s">
        <v>99</v>
      </c>
      <c r="D25" s="108">
        <v>1.0352</v>
      </c>
      <c r="E25" s="108">
        <v>1.0366</v>
      </c>
      <c r="F25" s="108">
        <f t="shared" si="0"/>
        <v>0.0014000000000000679</v>
      </c>
      <c r="G25" s="108">
        <f>F24+F25</f>
        <v>0.055400000000000116</v>
      </c>
    </row>
    <row r="26" spans="3:6" ht="12.75">
      <c r="C26" t="s">
        <v>100</v>
      </c>
      <c r="D26" s="108">
        <v>1.0333</v>
      </c>
      <c r="E26" s="108">
        <v>1.066</v>
      </c>
      <c r="F26" s="108">
        <f t="shared" si="0"/>
        <v>0.03269999999999995</v>
      </c>
    </row>
    <row r="27" spans="3:8" ht="12.75">
      <c r="C27" t="s">
        <v>101</v>
      </c>
      <c r="D27" s="108">
        <v>1.0326</v>
      </c>
      <c r="E27" s="108">
        <v>1.0346</v>
      </c>
      <c r="F27" s="108">
        <f t="shared" si="0"/>
        <v>0.0020000000000000018</v>
      </c>
      <c r="G27" s="108">
        <f>F26+F27</f>
        <v>0.03469999999999995</v>
      </c>
      <c r="H27" s="108">
        <f>G25/G27</f>
        <v>1.5965417867435214</v>
      </c>
    </row>
    <row r="28" spans="3:9" s="38" customFormat="1" ht="12.75">
      <c r="C28" s="38" t="s">
        <v>105</v>
      </c>
      <c r="D28" s="109">
        <v>1.0335</v>
      </c>
      <c r="E28" s="109">
        <v>1.0336</v>
      </c>
      <c r="F28" s="109">
        <f t="shared" si="0"/>
        <v>9.999999999998899E-05</v>
      </c>
      <c r="G28" s="109"/>
      <c r="H28" s="109"/>
      <c r="I28" s="109"/>
    </row>
    <row r="29" spans="1:6" ht="12.75">
      <c r="A29" s="107">
        <v>39380</v>
      </c>
      <c r="B29" t="s">
        <v>108</v>
      </c>
      <c r="C29" t="s">
        <v>110</v>
      </c>
      <c r="D29" s="108">
        <v>1.0325</v>
      </c>
      <c r="E29" s="108">
        <v>1.0855</v>
      </c>
      <c r="F29" s="108">
        <f t="shared" si="0"/>
        <v>0.052999999999999936</v>
      </c>
    </row>
    <row r="30" spans="3:7" ht="12.75">
      <c r="C30" t="s">
        <v>111</v>
      </c>
      <c r="D30" s="108">
        <v>1.032</v>
      </c>
      <c r="E30" s="108">
        <v>1.0337</v>
      </c>
      <c r="F30" s="108">
        <f t="shared" si="0"/>
        <v>0.0017000000000000348</v>
      </c>
      <c r="G30" s="108">
        <f>F29+F30</f>
        <v>0.05469999999999997</v>
      </c>
    </row>
    <row r="31" spans="3:6" ht="12.75">
      <c r="C31" t="s">
        <v>112</v>
      </c>
      <c r="D31" s="108">
        <v>1.0299</v>
      </c>
      <c r="E31" s="108">
        <v>1.0576</v>
      </c>
      <c r="F31" s="108">
        <f t="shared" si="0"/>
        <v>0.027700000000000058</v>
      </c>
    </row>
    <row r="32" spans="3:8" ht="12.75">
      <c r="C32" t="s">
        <v>113</v>
      </c>
      <c r="D32" s="108">
        <v>1.0369</v>
      </c>
      <c r="E32" s="108">
        <v>1.0378</v>
      </c>
      <c r="F32" s="108">
        <f t="shared" si="0"/>
        <v>0.0009000000000001229</v>
      </c>
      <c r="G32" s="108">
        <f>F31+F32</f>
        <v>0.02860000000000018</v>
      </c>
      <c r="H32" s="108">
        <f>G30/G32</f>
        <v>1.9125874125873994</v>
      </c>
    </row>
    <row r="33" spans="3:9" s="38" customFormat="1" ht="12.75">
      <c r="C33" s="38" t="s">
        <v>104</v>
      </c>
      <c r="D33" s="109">
        <v>1.0335</v>
      </c>
      <c r="E33" s="109">
        <v>1.0333</v>
      </c>
      <c r="F33" s="109">
        <f t="shared" si="0"/>
        <v>-0.00019999999999997797</v>
      </c>
      <c r="G33" s="109"/>
      <c r="H33" s="109"/>
      <c r="I33" s="109"/>
    </row>
    <row r="34" spans="1:9" ht="12.75">
      <c r="A34" s="107">
        <v>39380</v>
      </c>
      <c r="B34" t="s">
        <v>109</v>
      </c>
      <c r="C34" t="s">
        <v>115</v>
      </c>
      <c r="D34" s="108">
        <v>1.0299</v>
      </c>
      <c r="E34" s="108">
        <v>1.0963</v>
      </c>
      <c r="F34" s="108">
        <f t="shared" si="0"/>
        <v>0.06640000000000001</v>
      </c>
      <c r="I34" s="108" t="s">
        <v>119</v>
      </c>
    </row>
    <row r="35" spans="3:9" ht="12.75">
      <c r="C35" t="s">
        <v>116</v>
      </c>
      <c r="D35" s="108">
        <v>1.0384</v>
      </c>
      <c r="E35" s="108">
        <v>1.0393</v>
      </c>
      <c r="F35" s="108">
        <f t="shared" si="0"/>
        <v>0.0008999999999999009</v>
      </c>
      <c r="G35" s="108">
        <f>F34+F35</f>
        <v>0.06729999999999992</v>
      </c>
      <c r="I35" s="108" t="s">
        <v>120</v>
      </c>
    </row>
    <row r="36" spans="3:6" ht="12.75">
      <c r="C36" t="s">
        <v>117</v>
      </c>
      <c r="D36" s="108">
        <v>1.0368</v>
      </c>
      <c r="E36" s="108">
        <v>1.073</v>
      </c>
      <c r="F36" s="108">
        <f t="shared" si="0"/>
        <v>0.03620000000000001</v>
      </c>
    </row>
    <row r="37" spans="3:7" ht="12.75">
      <c r="C37" t="s">
        <v>118</v>
      </c>
      <c r="D37" s="108">
        <v>1.0385</v>
      </c>
      <c r="E37" s="108">
        <v>1.0392</v>
      </c>
      <c r="F37" s="108">
        <f t="shared" si="0"/>
        <v>0.0006999999999999229</v>
      </c>
      <c r="G37" s="108">
        <f>F36+F37</f>
        <v>0.03689999999999993</v>
      </c>
    </row>
    <row r="38" spans="3:16" s="38" customFormat="1" ht="12.75">
      <c r="C38" s="38" t="s">
        <v>104</v>
      </c>
      <c r="D38" s="109">
        <v>1.0341</v>
      </c>
      <c r="E38" s="109">
        <v>1.0335</v>
      </c>
      <c r="F38" s="109">
        <f t="shared" si="0"/>
        <v>-0.0005999999999999339</v>
      </c>
      <c r="G38" s="109"/>
      <c r="H38" s="109"/>
      <c r="I38" s="119" t="s">
        <v>234</v>
      </c>
      <c r="J38" s="121" t="s">
        <v>235</v>
      </c>
      <c r="K38" s="121"/>
      <c r="L38" s="121"/>
      <c r="M38" s="121"/>
      <c r="N38" s="121"/>
      <c r="O38" s="121"/>
      <c r="P38" s="121"/>
    </row>
    <row r="39" spans="1:10" ht="12.75">
      <c r="A39" s="107">
        <v>39381</v>
      </c>
      <c r="B39" t="s">
        <v>219</v>
      </c>
      <c r="C39" t="s">
        <v>121</v>
      </c>
      <c r="D39" s="108">
        <v>1.0367</v>
      </c>
      <c r="E39" s="108">
        <v>1.1044</v>
      </c>
      <c r="F39" s="108">
        <f t="shared" si="0"/>
        <v>0.0677000000000001</v>
      </c>
      <c r="I39" s="120" t="s">
        <v>232</v>
      </c>
      <c r="J39" s="121"/>
    </row>
    <row r="40" spans="3:10" ht="12.75">
      <c r="C40" t="s">
        <v>122</v>
      </c>
      <c r="D40" s="108">
        <v>1.0416</v>
      </c>
      <c r="E40" s="108">
        <v>1.0426</v>
      </c>
      <c r="F40" s="108">
        <f t="shared" si="0"/>
        <v>0.0009999999999998899</v>
      </c>
      <c r="G40" s="108">
        <f>F39+F40</f>
        <v>0.06869999999999998</v>
      </c>
      <c r="I40" s="120" t="s">
        <v>233</v>
      </c>
      <c r="J40" s="122">
        <f>(G40-$I$43)/G40</f>
        <v>0.0709606986899558</v>
      </c>
    </row>
    <row r="41" spans="3:10" ht="12.75">
      <c r="C41" t="s">
        <v>123</v>
      </c>
      <c r="D41" s="108">
        <v>1.0385</v>
      </c>
      <c r="E41" s="108">
        <v>1.0923</v>
      </c>
      <c r="F41" s="108">
        <f t="shared" si="0"/>
        <v>0.05380000000000007</v>
      </c>
      <c r="I41" s="120"/>
      <c r="J41" s="121"/>
    </row>
    <row r="42" spans="3:10" ht="12.75">
      <c r="C42" t="s">
        <v>124</v>
      </c>
      <c r="D42" s="108">
        <v>1.0385</v>
      </c>
      <c r="E42" s="108">
        <v>1.0387</v>
      </c>
      <c r="F42" s="108">
        <f t="shared" si="0"/>
        <v>0.00019999999999997797</v>
      </c>
      <c r="G42" s="108">
        <f>F41+F42</f>
        <v>0.05400000000000005</v>
      </c>
      <c r="I42" s="120"/>
      <c r="J42" s="122">
        <f>(G42-$I$43)/G42</f>
        <v>-0.18194444444444377</v>
      </c>
    </row>
    <row r="43" spans="3:10" ht="12.75">
      <c r="C43" t="s">
        <v>125</v>
      </c>
      <c r="D43" s="108">
        <v>1.0376</v>
      </c>
      <c r="E43" s="108">
        <v>1.1071</v>
      </c>
      <c r="F43" s="108">
        <f t="shared" si="0"/>
        <v>0.0694999999999999</v>
      </c>
      <c r="I43" s="120">
        <f>AVERAGE(G40,G42,G44,G46)</f>
        <v>0.06382500000000002</v>
      </c>
      <c r="J43" s="121"/>
    </row>
    <row r="44" spans="3:10" ht="12.75">
      <c r="C44" t="s">
        <v>126</v>
      </c>
      <c r="D44" s="108">
        <v>1.0372</v>
      </c>
      <c r="E44" s="108">
        <v>1.0384</v>
      </c>
      <c r="F44" s="108">
        <f t="shared" si="0"/>
        <v>0.0012000000000000899</v>
      </c>
      <c r="G44" s="108">
        <f>F43+F44</f>
        <v>0.07069999999999999</v>
      </c>
      <c r="I44" s="120"/>
      <c r="J44" s="122">
        <f>(G44-$I$43)/G44</f>
        <v>0.09724186704384676</v>
      </c>
    </row>
    <row r="45" spans="3:10" ht="12.75">
      <c r="C45" t="s">
        <v>127</v>
      </c>
      <c r="D45" s="108">
        <v>1.0374</v>
      </c>
      <c r="E45" s="108">
        <v>1.0985</v>
      </c>
      <c r="F45" s="108">
        <f t="shared" si="0"/>
        <v>0.06109999999999993</v>
      </c>
      <c r="I45" s="120"/>
      <c r="J45" s="121"/>
    </row>
    <row r="46" spans="3:10" ht="12.75">
      <c r="C46" t="s">
        <v>128</v>
      </c>
      <c r="D46" s="108">
        <v>1.0388</v>
      </c>
      <c r="E46" s="108">
        <v>1.0396</v>
      </c>
      <c r="F46" s="108">
        <f t="shared" si="0"/>
        <v>0.0008000000000001339</v>
      </c>
      <c r="G46" s="108">
        <f>F45+F46</f>
        <v>0.061900000000000066</v>
      </c>
      <c r="I46" s="120"/>
      <c r="J46" s="122">
        <f>(G46-$I$43)/G46</f>
        <v>-0.031098546042002462</v>
      </c>
    </row>
    <row r="47" spans="3:9" s="38" customFormat="1" ht="12.75">
      <c r="C47" s="38" t="s">
        <v>104</v>
      </c>
      <c r="D47" s="109">
        <v>1.0337</v>
      </c>
      <c r="E47" s="109">
        <v>1.0335</v>
      </c>
      <c r="F47" s="109">
        <f t="shared" si="0"/>
        <v>-0.00019999999999997797</v>
      </c>
      <c r="G47" s="109"/>
      <c r="H47" s="109"/>
      <c r="I47" s="119"/>
    </row>
    <row r="48" spans="1:10" ht="12.75">
      <c r="A48" s="107">
        <v>39382</v>
      </c>
      <c r="B48" t="s">
        <v>220</v>
      </c>
      <c r="C48" t="s">
        <v>129</v>
      </c>
      <c r="D48" s="108">
        <v>1.0359</v>
      </c>
      <c r="E48" s="108">
        <v>1.0365</v>
      </c>
      <c r="F48" s="108">
        <f t="shared" si="0"/>
        <v>0.0005999999999999339</v>
      </c>
      <c r="I48" s="120"/>
      <c r="J48" s="121"/>
    </row>
    <row r="49" spans="3:10" ht="12.75">
      <c r="C49" t="s">
        <v>130</v>
      </c>
      <c r="D49" s="108">
        <v>1.0398</v>
      </c>
      <c r="E49" s="108">
        <v>1.0807</v>
      </c>
      <c r="F49" s="108">
        <f t="shared" si="0"/>
        <v>0.040899999999999936</v>
      </c>
      <c r="G49" s="108">
        <f>F48+F49</f>
        <v>0.04149999999999987</v>
      </c>
      <c r="I49" s="120"/>
      <c r="J49" s="122">
        <f>(G49-$I$52)/G49</f>
        <v>-0.008433734939760809</v>
      </c>
    </row>
    <row r="50" spans="3:10" ht="12.75">
      <c r="C50" t="s">
        <v>131</v>
      </c>
      <c r="D50" s="108">
        <v>1.036</v>
      </c>
      <c r="E50" s="108">
        <v>1.0725</v>
      </c>
      <c r="F50" s="108">
        <f t="shared" si="0"/>
        <v>0.03649999999999998</v>
      </c>
      <c r="I50" s="120"/>
      <c r="J50" s="121"/>
    </row>
    <row r="51" spans="3:10" ht="12.75">
      <c r="C51" t="s">
        <v>132</v>
      </c>
      <c r="D51" s="108">
        <v>1.0331</v>
      </c>
      <c r="E51" s="108">
        <v>1.0337</v>
      </c>
      <c r="F51" s="108">
        <f t="shared" si="0"/>
        <v>0.000600000000000156</v>
      </c>
      <c r="G51" s="108">
        <f>F50+F51</f>
        <v>0.03710000000000013</v>
      </c>
      <c r="I51" s="120"/>
      <c r="J51" s="122">
        <f>(G51-$I$52)/G51</f>
        <v>-0.1280323450134715</v>
      </c>
    </row>
    <row r="52" spans="3:10" ht="12.75">
      <c r="C52" t="s">
        <v>133</v>
      </c>
      <c r="D52" s="108">
        <v>1.032</v>
      </c>
      <c r="E52" s="108">
        <v>1.0743</v>
      </c>
      <c r="F52" s="108">
        <f t="shared" si="0"/>
        <v>0.042300000000000004</v>
      </c>
      <c r="I52" s="120">
        <f>AVERAGE(G49,G51,G53,G55)</f>
        <v>0.04184999999999994</v>
      </c>
      <c r="J52" s="121"/>
    </row>
    <row r="53" spans="3:10" ht="12.75">
      <c r="C53" t="s">
        <v>134</v>
      </c>
      <c r="D53" s="108">
        <v>1.038</v>
      </c>
      <c r="E53" s="108">
        <v>1.0388</v>
      </c>
      <c r="F53" s="108">
        <f t="shared" si="0"/>
        <v>0.0007999999999999119</v>
      </c>
      <c r="G53" s="108">
        <f>F52+F53</f>
        <v>0.043099999999999916</v>
      </c>
      <c r="I53" s="120"/>
      <c r="J53" s="122">
        <f>(G53-$I$52)/G53</f>
        <v>0.029002320185614286</v>
      </c>
    </row>
    <row r="54" spans="3:10" ht="12.75">
      <c r="C54" t="s">
        <v>135</v>
      </c>
      <c r="D54" s="108">
        <v>1.038</v>
      </c>
      <c r="E54" s="108">
        <v>1.0825</v>
      </c>
      <c r="F54" s="108">
        <f t="shared" si="0"/>
        <v>0.044499999999999984</v>
      </c>
      <c r="I54" s="120"/>
      <c r="J54" s="121"/>
    </row>
    <row r="55" spans="3:10" ht="12.75">
      <c r="C55" t="s">
        <v>135</v>
      </c>
      <c r="D55" s="108">
        <v>1.0354</v>
      </c>
      <c r="E55" s="108">
        <v>1.0366</v>
      </c>
      <c r="F55" s="108">
        <f t="shared" si="0"/>
        <v>0.0011999999999998678</v>
      </c>
      <c r="G55" s="108">
        <f>F54+F55</f>
        <v>0.04569999999999985</v>
      </c>
      <c r="I55" s="120"/>
      <c r="J55" s="122">
        <f>(G55-$I$52)/G55</f>
        <v>0.08424507658643154</v>
      </c>
    </row>
    <row r="56" spans="3:9" s="38" customFormat="1" ht="12.75">
      <c r="C56" s="38" t="s">
        <v>104</v>
      </c>
      <c r="D56" s="109">
        <v>1.0346</v>
      </c>
      <c r="E56" s="109">
        <v>1.0352</v>
      </c>
      <c r="F56" s="109">
        <f t="shared" si="0"/>
        <v>0.0005999999999999339</v>
      </c>
      <c r="G56" s="109"/>
      <c r="H56" s="109"/>
      <c r="I56" s="119"/>
    </row>
    <row r="57" spans="1:10" ht="12.75">
      <c r="A57" s="107">
        <v>39382</v>
      </c>
      <c r="B57" t="s">
        <v>221</v>
      </c>
      <c r="C57" t="s">
        <v>136</v>
      </c>
      <c r="D57" s="108">
        <v>1.0333</v>
      </c>
      <c r="E57" s="108">
        <v>1.0335</v>
      </c>
      <c r="F57" s="108">
        <f t="shared" si="0"/>
        <v>0.00019999999999997797</v>
      </c>
      <c r="I57" s="120"/>
      <c r="J57" s="121"/>
    </row>
    <row r="58" spans="3:10" ht="12.75">
      <c r="C58" t="s">
        <v>137</v>
      </c>
      <c r="D58" s="108">
        <v>1.0359</v>
      </c>
      <c r="E58" s="108">
        <v>1.0483</v>
      </c>
      <c r="F58" s="108">
        <f t="shared" si="0"/>
        <v>0.012399999999999967</v>
      </c>
      <c r="G58" s="108">
        <f>F57+F58</f>
        <v>0.012599999999999945</v>
      </c>
      <c r="I58" s="120"/>
      <c r="J58" s="122">
        <f>(G58-$I$61)/G58</f>
        <v>0.26984126984127216</v>
      </c>
    </row>
    <row r="59" spans="3:10" ht="12.75">
      <c r="C59" t="s">
        <v>138</v>
      </c>
      <c r="D59" s="108">
        <v>1.0322</v>
      </c>
      <c r="E59" s="108">
        <v>1.0327</v>
      </c>
      <c r="F59" s="108">
        <f t="shared" si="0"/>
        <v>0.0004999999999999449</v>
      </c>
      <c r="I59" s="120"/>
      <c r="J59" s="121"/>
    </row>
    <row r="60" spans="3:10" ht="12.75">
      <c r="C60" t="s">
        <v>139</v>
      </c>
      <c r="D60" s="108">
        <v>1.0384</v>
      </c>
      <c r="E60" s="108">
        <v>1.0492</v>
      </c>
      <c r="F60" s="108">
        <f t="shared" si="0"/>
        <v>0.01079999999999992</v>
      </c>
      <c r="G60" s="108">
        <f>F59+F60</f>
        <v>0.011299999999999866</v>
      </c>
      <c r="I60" s="120"/>
      <c r="J60" s="122">
        <f>(G60-$I$61)/G60</f>
        <v>0.18584070796459826</v>
      </c>
    </row>
    <row r="61" spans="3:10" ht="12.75">
      <c r="C61" t="s">
        <v>140</v>
      </c>
      <c r="D61" s="108">
        <v>1.0338</v>
      </c>
      <c r="E61" s="108">
        <v>1.034</v>
      </c>
      <c r="F61" s="108">
        <f t="shared" si="0"/>
        <v>0.00019999999999997797</v>
      </c>
      <c r="I61" s="120">
        <f>AVERAGE(G58,G60,G62,G64)</f>
        <v>0.00919999999999993</v>
      </c>
      <c r="J61" s="121"/>
    </row>
    <row r="62" spans="3:10" ht="12.75">
      <c r="C62" t="s">
        <v>141</v>
      </c>
      <c r="D62" s="108">
        <v>1.0353</v>
      </c>
      <c r="E62" s="108">
        <v>1.0469</v>
      </c>
      <c r="F62" s="108">
        <f t="shared" si="0"/>
        <v>0.011599999999999833</v>
      </c>
      <c r="G62" s="108">
        <f>F61+F62</f>
        <v>0.01179999999999981</v>
      </c>
      <c r="I62" s="120"/>
      <c r="J62" s="122">
        <f>(G62-$I$61)/G62</f>
        <v>0.22033898305084085</v>
      </c>
    </row>
    <row r="63" spans="3:10" ht="12.75">
      <c r="C63" t="s">
        <v>142</v>
      </c>
      <c r="D63" s="108">
        <v>1.038</v>
      </c>
      <c r="E63" s="108">
        <v>1.0384</v>
      </c>
      <c r="F63" s="108">
        <f t="shared" si="0"/>
        <v>0.00039999999999995595</v>
      </c>
      <c r="I63" s="120"/>
      <c r="J63" s="121"/>
    </row>
    <row r="64" spans="3:10" ht="12.75">
      <c r="C64" t="s">
        <v>143</v>
      </c>
      <c r="D64" s="108">
        <v>1.0309</v>
      </c>
      <c r="E64" s="108">
        <v>1.0316</v>
      </c>
      <c r="F64" s="108">
        <f t="shared" si="0"/>
        <v>0.000700000000000145</v>
      </c>
      <c r="G64" s="108">
        <f>F63+F64</f>
        <v>0.001100000000000101</v>
      </c>
      <c r="H64" s="108" t="s">
        <v>160</v>
      </c>
      <c r="I64" s="120"/>
      <c r="J64" s="122">
        <f>(G64-$I$61)/G64</f>
        <v>-7.363636363635533</v>
      </c>
    </row>
    <row r="65" spans="3:9" s="38" customFormat="1" ht="12.75">
      <c r="C65" s="38" t="s">
        <v>104</v>
      </c>
      <c r="D65" s="109">
        <v>1.0345</v>
      </c>
      <c r="E65" s="109">
        <v>1.034</v>
      </c>
      <c r="F65" s="109">
        <f t="shared" si="0"/>
        <v>-0.0004999999999999449</v>
      </c>
      <c r="G65" s="109"/>
      <c r="H65" s="109"/>
      <c r="I65" s="119"/>
    </row>
    <row r="66" spans="1:10" ht="12.75">
      <c r="A66" s="107">
        <v>39382</v>
      </c>
      <c r="B66" t="s">
        <v>222</v>
      </c>
      <c r="C66" t="s">
        <v>144</v>
      </c>
      <c r="D66" s="108">
        <v>1.0352</v>
      </c>
      <c r="E66" s="108">
        <v>1.0368</v>
      </c>
      <c r="F66" s="108">
        <f t="shared" si="0"/>
        <v>0.0016000000000000458</v>
      </c>
      <c r="I66" s="120"/>
      <c r="J66" s="121"/>
    </row>
    <row r="67" spans="3:10" ht="12.75">
      <c r="C67" t="s">
        <v>145</v>
      </c>
      <c r="D67" s="108">
        <v>1.0369</v>
      </c>
      <c r="E67" s="108">
        <v>1.0692</v>
      </c>
      <c r="F67" s="108">
        <f t="shared" si="0"/>
        <v>0.032299999999999995</v>
      </c>
      <c r="G67" s="108">
        <f>F66+F67</f>
        <v>0.03390000000000004</v>
      </c>
      <c r="I67" s="120"/>
      <c r="J67" s="122">
        <f>(G67-$I$70)/G67</f>
        <v>0.0235988200589977</v>
      </c>
    </row>
    <row r="68" spans="3:10" ht="12.75">
      <c r="C68" t="s">
        <v>146</v>
      </c>
      <c r="D68" s="108">
        <v>1.0425</v>
      </c>
      <c r="E68" s="108">
        <v>1.0727</v>
      </c>
      <c r="F68" s="108">
        <f t="shared" si="0"/>
        <v>0.030200000000000005</v>
      </c>
      <c r="I68" s="120"/>
      <c r="J68" s="121"/>
    </row>
    <row r="69" spans="3:10" ht="12.75">
      <c r="C69" t="s">
        <v>147</v>
      </c>
      <c r="D69" s="108">
        <v>1.0416</v>
      </c>
      <c r="E69" s="108">
        <v>1.0434</v>
      </c>
      <c r="F69" s="108">
        <f t="shared" si="0"/>
        <v>0.0018000000000000238</v>
      </c>
      <c r="G69" s="108">
        <f>F68+F69</f>
        <v>0.03200000000000003</v>
      </c>
      <c r="I69" s="120"/>
      <c r="J69" s="122">
        <f>(G69-$I$70)/G69</f>
        <v>-0.034374999999999656</v>
      </c>
    </row>
    <row r="70" spans="3:10" ht="12.75">
      <c r="C70" t="s">
        <v>148</v>
      </c>
      <c r="D70" s="108">
        <v>1.0334</v>
      </c>
      <c r="E70" s="108">
        <v>1.0625</v>
      </c>
      <c r="F70" s="108">
        <f t="shared" si="0"/>
        <v>0.029099999999999904</v>
      </c>
      <c r="I70" s="120">
        <f>AVERAGE(G67,G69,G71,G73)</f>
        <v>0.03310000000000002</v>
      </c>
      <c r="J70" s="121"/>
    </row>
    <row r="71" spans="3:10" ht="12.75">
      <c r="C71" t="s">
        <v>149</v>
      </c>
      <c r="D71" s="108">
        <v>1.0372</v>
      </c>
      <c r="E71" s="108">
        <v>1.0389</v>
      </c>
      <c r="F71" s="108">
        <f t="shared" si="0"/>
        <v>0.0017000000000000348</v>
      </c>
      <c r="G71" s="108">
        <f>F70+F71</f>
        <v>0.03079999999999994</v>
      </c>
      <c r="I71" s="120"/>
      <c r="J71" s="122">
        <f>(G71-$I$70)/G71</f>
        <v>-0.07467532467532742</v>
      </c>
    </row>
    <row r="72" spans="3:10" ht="12.75">
      <c r="C72" t="s">
        <v>150</v>
      </c>
      <c r="D72" s="108">
        <v>1.0387</v>
      </c>
      <c r="E72" s="108">
        <v>1.0723</v>
      </c>
      <c r="F72" s="108">
        <f t="shared" si="0"/>
        <v>0.033600000000000074</v>
      </c>
      <c r="I72" s="120"/>
      <c r="J72" s="121"/>
    </row>
    <row r="73" spans="3:10" ht="12.75">
      <c r="C73" t="s">
        <v>151</v>
      </c>
      <c r="D73" s="108">
        <v>1.0395</v>
      </c>
      <c r="E73" s="108">
        <v>1.0416</v>
      </c>
      <c r="F73" s="108">
        <f t="shared" si="0"/>
        <v>0.0020999999999999908</v>
      </c>
      <c r="G73" s="108">
        <f>F72+F73</f>
        <v>0.035700000000000065</v>
      </c>
      <c r="I73" s="120"/>
      <c r="J73" s="122">
        <f>(G73-$I$70)/G73</f>
        <v>0.07282913165266224</v>
      </c>
    </row>
    <row r="74" spans="3:9" s="38" customFormat="1" ht="12.75">
      <c r="C74" s="38" t="s">
        <v>104</v>
      </c>
      <c r="D74" s="109">
        <v>1.0344</v>
      </c>
      <c r="E74" s="109">
        <v>1.0348</v>
      </c>
      <c r="F74" s="109">
        <f t="shared" si="0"/>
        <v>0.00039999999999995595</v>
      </c>
      <c r="G74" s="109"/>
      <c r="H74" s="109"/>
      <c r="I74" s="119"/>
    </row>
    <row r="75" spans="1:10" ht="12.75">
      <c r="A75" s="107">
        <v>39383</v>
      </c>
      <c r="B75" t="s">
        <v>223</v>
      </c>
      <c r="C75" t="s">
        <v>152</v>
      </c>
      <c r="D75" s="108">
        <v>1.0384</v>
      </c>
      <c r="E75" s="108">
        <v>1.0825</v>
      </c>
      <c r="F75" s="108">
        <f t="shared" si="0"/>
        <v>0.04410000000000003</v>
      </c>
      <c r="I75" s="120"/>
      <c r="J75" s="121"/>
    </row>
    <row r="76" spans="3:10" ht="12.75">
      <c r="C76" t="s">
        <v>153</v>
      </c>
      <c r="D76" s="108">
        <v>1.0425</v>
      </c>
      <c r="E76" s="108">
        <v>1.0439</v>
      </c>
      <c r="F76" s="108">
        <f t="shared" si="0"/>
        <v>0.0014000000000000679</v>
      </c>
      <c r="G76" s="108">
        <f>F75+F76</f>
        <v>0.045500000000000096</v>
      </c>
      <c r="I76" s="120"/>
      <c r="J76" s="122">
        <f>(G76-$I$79)/G76</f>
        <v>0.036813186813187564</v>
      </c>
    </row>
    <row r="77" spans="3:10" ht="12.75">
      <c r="C77" t="s">
        <v>154</v>
      </c>
      <c r="D77" s="108">
        <v>1.0428</v>
      </c>
      <c r="E77" s="108">
        <v>1.0837</v>
      </c>
      <c r="F77" s="108">
        <f t="shared" si="0"/>
        <v>0.04090000000000016</v>
      </c>
      <c r="I77" s="120"/>
      <c r="J77" s="121"/>
    </row>
    <row r="78" spans="3:10" ht="12.75">
      <c r="C78" t="s">
        <v>155</v>
      </c>
      <c r="D78" s="108">
        <v>1.0408</v>
      </c>
      <c r="E78" s="108">
        <v>1.0423</v>
      </c>
      <c r="F78" s="108">
        <f t="shared" si="0"/>
        <v>0.0015000000000000568</v>
      </c>
      <c r="G78" s="108">
        <f>F77+F78</f>
        <v>0.042400000000000215</v>
      </c>
      <c r="I78" s="120"/>
      <c r="J78" s="122">
        <f>(G78-$I$79)/G78</f>
        <v>-0.03360849056603386</v>
      </c>
    </row>
    <row r="79" spans="3:10" ht="12.75">
      <c r="C79" t="s">
        <v>156</v>
      </c>
      <c r="D79" s="108">
        <v>1.0356</v>
      </c>
      <c r="E79" s="108">
        <v>1.0772</v>
      </c>
      <c r="F79" s="108">
        <f t="shared" si="0"/>
        <v>0.04159999999999986</v>
      </c>
      <c r="I79" s="120">
        <f>AVERAGE(G76,G78,G80,G82)</f>
        <v>0.04382500000000006</v>
      </c>
      <c r="J79" s="121"/>
    </row>
    <row r="80" spans="3:10" ht="12.75">
      <c r="C80" t="s">
        <v>157</v>
      </c>
      <c r="D80" s="108">
        <v>1.0366</v>
      </c>
      <c r="E80" s="108">
        <v>1.0385</v>
      </c>
      <c r="F80" s="108">
        <f t="shared" si="0"/>
        <v>0.0019000000000000128</v>
      </c>
      <c r="G80" s="108">
        <f>F79+F80</f>
        <v>0.04349999999999987</v>
      </c>
      <c r="I80" s="120"/>
      <c r="J80" s="122">
        <f>(G80-$I$79)/G80</f>
        <v>-0.007471264367820396</v>
      </c>
    </row>
    <row r="81" spans="3:10" ht="12.75">
      <c r="C81" t="s">
        <v>158</v>
      </c>
      <c r="D81" s="108">
        <v>1.0358</v>
      </c>
      <c r="E81" s="108">
        <v>1.0778</v>
      </c>
      <c r="F81" s="108">
        <f t="shared" si="0"/>
        <v>0.04200000000000004</v>
      </c>
      <c r="I81" s="120"/>
      <c r="J81" s="121"/>
    </row>
    <row r="82" spans="3:10" ht="12.75">
      <c r="C82" t="s">
        <v>159</v>
      </c>
      <c r="D82" s="108">
        <v>1.0344</v>
      </c>
      <c r="E82" s="108">
        <v>1.0363</v>
      </c>
      <c r="F82" s="108">
        <f t="shared" si="0"/>
        <v>0.0019000000000000128</v>
      </c>
      <c r="G82" s="108">
        <f>F81+F82</f>
        <v>0.04390000000000005</v>
      </c>
      <c r="I82" s="120"/>
      <c r="J82" s="122">
        <f>(G82-$I$79)/G82</f>
        <v>0.0017084282460134773</v>
      </c>
    </row>
    <row r="83" spans="3:9" s="38" customFormat="1" ht="12.75">
      <c r="C83" s="38" t="s">
        <v>104</v>
      </c>
      <c r="D83" s="109">
        <v>1.0345</v>
      </c>
      <c r="E83" s="109">
        <v>1.0346</v>
      </c>
      <c r="F83" s="109">
        <f t="shared" si="0"/>
        <v>9.999999999998899E-05</v>
      </c>
      <c r="G83" s="109"/>
      <c r="H83" s="109"/>
      <c r="I83" s="119"/>
    </row>
    <row r="84" spans="1:10" ht="12.75">
      <c r="A84" t="s">
        <v>175</v>
      </c>
      <c r="B84" t="s">
        <v>224</v>
      </c>
      <c r="C84" t="s">
        <v>176</v>
      </c>
      <c r="D84" s="108">
        <v>1.0372</v>
      </c>
      <c r="E84" s="108">
        <v>1.0782</v>
      </c>
      <c r="F84" s="108">
        <f t="shared" si="0"/>
        <v>0.04100000000000015</v>
      </c>
      <c r="I84" s="120"/>
      <c r="J84" s="121"/>
    </row>
    <row r="85" spans="3:10" ht="12.75">
      <c r="C85" t="s">
        <v>177</v>
      </c>
      <c r="D85" s="108">
        <v>1.0387</v>
      </c>
      <c r="E85" s="108">
        <v>1.0397</v>
      </c>
      <c r="F85" s="108">
        <f t="shared" si="0"/>
        <v>0.001000000000000112</v>
      </c>
      <c r="G85" s="108">
        <f>F84+F85</f>
        <v>0.04200000000000026</v>
      </c>
      <c r="I85" s="120"/>
      <c r="J85" s="122">
        <f>(G85-$I$88)/G85</f>
        <v>0.029166666666669883</v>
      </c>
    </row>
    <row r="86" spans="3:10" ht="12.75">
      <c r="C86" t="s">
        <v>178</v>
      </c>
      <c r="D86" s="108">
        <v>1.0404</v>
      </c>
      <c r="E86" s="108">
        <v>1.0776</v>
      </c>
      <c r="F86" s="108">
        <f t="shared" si="0"/>
        <v>0.0371999999999999</v>
      </c>
      <c r="I86" s="120"/>
      <c r="J86" s="121"/>
    </row>
    <row r="87" spans="3:10" ht="12.75">
      <c r="C87" t="s">
        <v>179</v>
      </c>
      <c r="D87" s="108">
        <v>1.0325</v>
      </c>
      <c r="E87" s="108">
        <v>1.0339</v>
      </c>
      <c r="F87" s="108">
        <f t="shared" si="0"/>
        <v>0.0014000000000000679</v>
      </c>
      <c r="G87" s="108">
        <f>F86+F87</f>
        <v>0.03859999999999997</v>
      </c>
      <c r="I87" s="120"/>
      <c r="J87" s="122">
        <f>(G87-$I$88)/G87</f>
        <v>-0.05634715025907126</v>
      </c>
    </row>
    <row r="88" spans="3:10" ht="12.75">
      <c r="C88" t="s">
        <v>180</v>
      </c>
      <c r="D88" s="108">
        <v>1.037</v>
      </c>
      <c r="E88" s="108">
        <v>1.039</v>
      </c>
      <c r="F88" s="108">
        <f t="shared" si="0"/>
        <v>0.0020000000000000018</v>
      </c>
      <c r="I88" s="120">
        <f>AVERAGE(G85,G87,G89,G91)</f>
        <v>0.04077500000000012</v>
      </c>
      <c r="J88" s="121"/>
    </row>
    <row r="89" spans="3:10" ht="12.75">
      <c r="C89" t="s">
        <v>181</v>
      </c>
      <c r="D89" s="108">
        <v>1.039</v>
      </c>
      <c r="E89" s="108">
        <v>1.0786</v>
      </c>
      <c r="F89" s="108">
        <f t="shared" si="0"/>
        <v>0.03960000000000008</v>
      </c>
      <c r="G89" s="108">
        <f>F88+F89</f>
        <v>0.04160000000000008</v>
      </c>
      <c r="I89" s="120"/>
      <c r="J89" s="122">
        <f>(G89-$I$88)/G89</f>
        <v>0.01983173076922988</v>
      </c>
    </row>
    <row r="90" spans="3:10" ht="12.75">
      <c r="C90" t="s">
        <v>182</v>
      </c>
      <c r="D90" s="108">
        <v>1.0369</v>
      </c>
      <c r="E90" s="108">
        <v>1.0764</v>
      </c>
      <c r="F90" s="108">
        <f t="shared" si="0"/>
        <v>0.03950000000000009</v>
      </c>
      <c r="I90" s="120"/>
      <c r="J90" s="121"/>
    </row>
    <row r="91" spans="3:10" ht="12.75">
      <c r="C91" t="s">
        <v>183</v>
      </c>
      <c r="D91" s="108">
        <v>1.039</v>
      </c>
      <c r="E91" s="108">
        <v>1.0404</v>
      </c>
      <c r="F91" s="108">
        <f t="shared" si="0"/>
        <v>0.0014000000000000679</v>
      </c>
      <c r="G91" s="108">
        <f>F90+F91</f>
        <v>0.04090000000000016</v>
      </c>
      <c r="I91" s="120"/>
      <c r="J91" s="122">
        <f>(G91-$I$88)/G91</f>
        <v>0.003056234718827415</v>
      </c>
    </row>
    <row r="92" spans="3:9" s="38" customFormat="1" ht="12.75">
      <c r="C92" s="38" t="s">
        <v>104</v>
      </c>
      <c r="D92" s="109">
        <v>1.0349</v>
      </c>
      <c r="E92" s="109">
        <v>1.0351</v>
      </c>
      <c r="F92" s="109">
        <f t="shared" si="0"/>
        <v>0.00019999999999997797</v>
      </c>
      <c r="G92" s="109"/>
      <c r="H92" s="109"/>
      <c r="I92" s="119"/>
    </row>
    <row r="93" spans="1:10" ht="12.75">
      <c r="A93" t="s">
        <v>184</v>
      </c>
      <c r="B93" t="s">
        <v>225</v>
      </c>
      <c r="C93" t="s">
        <v>185</v>
      </c>
      <c r="D93" s="108">
        <v>1.0345</v>
      </c>
      <c r="E93" s="108">
        <v>1.0904</v>
      </c>
      <c r="F93" s="108">
        <f t="shared" si="0"/>
        <v>0.05590000000000006</v>
      </c>
      <c r="I93" s="120"/>
      <c r="J93" s="121"/>
    </row>
    <row r="94" spans="3:10" ht="12.75">
      <c r="C94" t="s">
        <v>186</v>
      </c>
      <c r="D94" s="108">
        <v>1.0417</v>
      </c>
      <c r="E94" s="108">
        <v>1.0428</v>
      </c>
      <c r="F94" s="108">
        <f t="shared" si="0"/>
        <v>0.0010999999999998789</v>
      </c>
      <c r="G94" s="108">
        <f>F93+F94</f>
        <v>0.05699999999999994</v>
      </c>
      <c r="I94" s="120"/>
      <c r="J94" s="122">
        <f>(G94-$I$97)/G94</f>
        <v>-0.07982456140351078</v>
      </c>
    </row>
    <row r="95" spans="3:10" ht="12.75">
      <c r="C95" t="s">
        <v>187</v>
      </c>
      <c r="D95" s="108">
        <v>1.0337</v>
      </c>
      <c r="E95" s="108">
        <v>1.0999</v>
      </c>
      <c r="F95" s="108">
        <f t="shared" si="0"/>
        <v>0.06620000000000004</v>
      </c>
      <c r="I95" s="120"/>
      <c r="J95" s="121"/>
    </row>
    <row r="96" spans="3:10" ht="12.75">
      <c r="C96" t="s">
        <v>188</v>
      </c>
      <c r="D96" s="108">
        <v>1.0365</v>
      </c>
      <c r="E96" s="108">
        <v>1.0382</v>
      </c>
      <c r="F96" s="108">
        <f t="shared" si="0"/>
        <v>0.0017000000000000348</v>
      </c>
      <c r="G96" s="108">
        <f>F95+F96</f>
        <v>0.06790000000000007</v>
      </c>
      <c r="I96" s="120"/>
      <c r="J96" s="122">
        <f>(G96-$I$97)/G96</f>
        <v>0.09351988217967623</v>
      </c>
    </row>
    <row r="97" spans="3:10" ht="12.75">
      <c r="C97" t="s">
        <v>189</v>
      </c>
      <c r="D97" s="108">
        <v>1.0323</v>
      </c>
      <c r="E97" s="108">
        <v>1.0952</v>
      </c>
      <c r="F97" s="108">
        <f t="shared" si="0"/>
        <v>0.06289999999999996</v>
      </c>
      <c r="I97" s="120">
        <f>AVERAGE(G94,G96,G98,G100)</f>
        <v>0.06155000000000005</v>
      </c>
      <c r="J97" s="121"/>
    </row>
    <row r="98" spans="3:10" ht="12.75">
      <c r="C98" t="s">
        <v>190</v>
      </c>
      <c r="D98" s="108">
        <v>1.0387</v>
      </c>
      <c r="E98" s="108">
        <v>1.0403</v>
      </c>
      <c r="F98" s="108">
        <f t="shared" si="0"/>
        <v>0.0016000000000000458</v>
      </c>
      <c r="G98" s="108">
        <f>F97+F98</f>
        <v>0.0645</v>
      </c>
      <c r="I98" s="120"/>
      <c r="J98" s="122">
        <f>(G98-$I$97)/G98</f>
        <v>0.045736434108526396</v>
      </c>
    </row>
    <row r="99" spans="3:10" ht="12.75">
      <c r="C99" t="s">
        <v>191</v>
      </c>
      <c r="D99" s="108">
        <v>1.0348</v>
      </c>
      <c r="E99" s="108">
        <v>1.09</v>
      </c>
      <c r="F99" s="108">
        <f t="shared" si="0"/>
        <v>0.05520000000000014</v>
      </c>
      <c r="I99" s="120"/>
      <c r="J99" s="121"/>
    </row>
    <row r="100" spans="3:10" ht="12.75">
      <c r="C100" t="s">
        <v>192</v>
      </c>
      <c r="D100" s="108">
        <v>1.0386</v>
      </c>
      <c r="E100" s="108">
        <v>1.0402</v>
      </c>
      <c r="F100" s="108">
        <f t="shared" si="0"/>
        <v>0.0016000000000000458</v>
      </c>
      <c r="G100" s="108">
        <f>F99+F100</f>
        <v>0.056800000000000184</v>
      </c>
      <c r="I100" s="120"/>
      <c r="J100" s="122">
        <f>(G100-$I$97)/G100</f>
        <v>-0.08362676056337764</v>
      </c>
    </row>
    <row r="101" spans="3:9" s="38" customFormat="1" ht="12.75">
      <c r="C101" s="38" t="s">
        <v>104</v>
      </c>
      <c r="D101" s="109">
        <v>1.0347</v>
      </c>
      <c r="E101" s="109">
        <v>1.0351</v>
      </c>
      <c r="F101" s="109">
        <f t="shared" si="0"/>
        <v>0.00039999999999995595</v>
      </c>
      <c r="G101" s="109"/>
      <c r="H101" s="109"/>
      <c r="I101" s="119"/>
    </row>
    <row r="102" spans="1:10" ht="12.75">
      <c r="A102" t="s">
        <v>193</v>
      </c>
      <c r="B102" t="s">
        <v>226</v>
      </c>
      <c r="C102" t="s">
        <v>194</v>
      </c>
      <c r="D102" s="108">
        <v>1.0386</v>
      </c>
      <c r="E102" s="108">
        <v>1.1035</v>
      </c>
      <c r="F102" s="108">
        <f t="shared" si="0"/>
        <v>0.06489999999999996</v>
      </c>
      <c r="I102" s="120"/>
      <c r="J102" s="121"/>
    </row>
    <row r="103" spans="3:10" ht="12.75">
      <c r="C103" t="s">
        <v>195</v>
      </c>
      <c r="D103" s="108">
        <v>1.036</v>
      </c>
      <c r="E103" s="108">
        <v>1.0374</v>
      </c>
      <c r="F103" s="108">
        <f t="shared" si="0"/>
        <v>0.0014000000000000679</v>
      </c>
      <c r="G103" s="108">
        <f>F102+F103</f>
        <v>0.06630000000000003</v>
      </c>
      <c r="I103" s="120"/>
      <c r="J103" s="122">
        <f>(G103-$I$106)/G103</f>
        <v>0.08069381598793308</v>
      </c>
    </row>
    <row r="104" spans="3:10" ht="12.75">
      <c r="C104" t="s">
        <v>196</v>
      </c>
      <c r="D104" s="108">
        <v>1.0348</v>
      </c>
      <c r="E104" s="108">
        <v>1.0893</v>
      </c>
      <c r="F104" s="108">
        <f t="shared" si="0"/>
        <v>0.05449999999999999</v>
      </c>
      <c r="I104" s="120"/>
      <c r="J104" s="121"/>
    </row>
    <row r="105" spans="3:10" ht="12.75">
      <c r="C105" t="s">
        <v>197</v>
      </c>
      <c r="D105" s="108">
        <v>1.0419</v>
      </c>
      <c r="E105" s="108">
        <v>1.0433</v>
      </c>
      <c r="F105" s="108">
        <f t="shared" si="0"/>
        <v>0.0013999999999998458</v>
      </c>
      <c r="G105" s="108">
        <f>F104+F105</f>
        <v>0.05589999999999984</v>
      </c>
      <c r="I105" s="120"/>
      <c r="J105" s="122">
        <f>(G105-$I$106)/G105</f>
        <v>-0.09033989266547827</v>
      </c>
    </row>
    <row r="106" spans="3:10" ht="12.75">
      <c r="C106" t="s">
        <v>198</v>
      </c>
      <c r="D106" s="108">
        <v>1.0366</v>
      </c>
      <c r="E106" s="108">
        <v>1.0941</v>
      </c>
      <c r="F106" s="108">
        <f t="shared" si="0"/>
        <v>0.05750000000000011</v>
      </c>
      <c r="I106" s="120">
        <f>AVERAGE(G103,G105,G107,G109)</f>
        <v>0.06095000000000006</v>
      </c>
      <c r="J106" s="121"/>
    </row>
    <row r="107" spans="3:10" ht="12.75">
      <c r="C107" t="s">
        <v>199</v>
      </c>
      <c r="D107" s="108">
        <v>1.0369</v>
      </c>
      <c r="E107" s="108">
        <v>1.0385</v>
      </c>
      <c r="F107" s="108">
        <f t="shared" si="0"/>
        <v>0.0016000000000000458</v>
      </c>
      <c r="G107" s="108">
        <f>F106+F107</f>
        <v>0.05910000000000015</v>
      </c>
      <c r="I107" s="120"/>
      <c r="J107" s="122">
        <f>(G107-$I$106)/G107</f>
        <v>-0.0313028764805398</v>
      </c>
    </row>
    <row r="108" spans="3:10" ht="12.75">
      <c r="C108" t="s">
        <v>200</v>
      </c>
      <c r="D108" s="108">
        <v>1.041</v>
      </c>
      <c r="E108" s="108">
        <v>1.1029</v>
      </c>
      <c r="F108" s="108">
        <f t="shared" si="0"/>
        <v>0.061900000000000066</v>
      </c>
      <c r="I108" s="120"/>
      <c r="J108" s="121"/>
    </row>
    <row r="109" spans="3:10" ht="12.75">
      <c r="C109" t="s">
        <v>201</v>
      </c>
      <c r="D109" s="108">
        <v>1.0347</v>
      </c>
      <c r="E109" s="108">
        <v>1.0353</v>
      </c>
      <c r="F109" s="108">
        <f t="shared" si="0"/>
        <v>0.000600000000000156</v>
      </c>
      <c r="G109" s="108">
        <f>F108+F109</f>
        <v>0.06250000000000022</v>
      </c>
      <c r="I109" s="120"/>
      <c r="J109" s="122">
        <f>(G109-$I$106)/G109</f>
        <v>0.02480000000000251</v>
      </c>
    </row>
    <row r="110" spans="3:10" ht="12.75">
      <c r="C110" t="s">
        <v>104</v>
      </c>
      <c r="D110" s="108">
        <v>1.0355</v>
      </c>
      <c r="E110" s="108">
        <v>1.0352</v>
      </c>
      <c r="F110" s="108">
        <f t="shared" si="0"/>
        <v>-0.000300000000000189</v>
      </c>
      <c r="I110" s="120"/>
      <c r="J110" s="121"/>
    </row>
    <row r="111" spans="3:10" ht="12.75">
      <c r="C111" t="s">
        <v>202</v>
      </c>
      <c r="D111" s="108">
        <v>1.0364</v>
      </c>
      <c r="E111" s="108">
        <v>1.0378</v>
      </c>
      <c r="F111" s="108">
        <f t="shared" si="0"/>
        <v>0.0014000000000000679</v>
      </c>
      <c r="I111" s="120"/>
      <c r="J111" s="121"/>
    </row>
    <row r="112" spans="3:10" ht="12.75">
      <c r="C112" t="s">
        <v>203</v>
      </c>
      <c r="D112" s="108">
        <v>1.0337</v>
      </c>
      <c r="E112" s="108">
        <v>1.0334</v>
      </c>
      <c r="F112" s="108">
        <f t="shared" si="0"/>
        <v>-0.00029999999999996696</v>
      </c>
      <c r="G112" s="108">
        <f>F111+F112</f>
        <v>0.001100000000000101</v>
      </c>
      <c r="I112" s="120"/>
      <c r="J112" s="121"/>
    </row>
    <row r="113" spans="3:10" ht="12.75">
      <c r="C113" t="s">
        <v>204</v>
      </c>
      <c r="D113" s="108">
        <v>1.0369</v>
      </c>
      <c r="E113" s="108">
        <v>1.0435</v>
      </c>
      <c r="F113" s="108">
        <f t="shared" si="0"/>
        <v>0.006600000000000161</v>
      </c>
      <c r="I113" s="120"/>
      <c r="J113" s="121"/>
    </row>
    <row r="114" spans="3:10" ht="12.75">
      <c r="C114" t="s">
        <v>205</v>
      </c>
      <c r="D114" s="108">
        <v>1.0331</v>
      </c>
      <c r="E114" s="108">
        <v>1.0337</v>
      </c>
      <c r="F114" s="108">
        <f t="shared" si="0"/>
        <v>0.000600000000000156</v>
      </c>
      <c r="G114" s="108">
        <f>F113+F114</f>
        <v>0.007200000000000317</v>
      </c>
      <c r="I114" s="120"/>
      <c r="J114" s="121"/>
    </row>
    <row r="115" spans="3:10" ht="12.75">
      <c r="C115" t="s">
        <v>206</v>
      </c>
      <c r="D115" s="108">
        <v>1.0353</v>
      </c>
      <c r="E115" s="108">
        <v>1.0354</v>
      </c>
      <c r="F115" s="108">
        <f t="shared" si="0"/>
        <v>9.999999999998899E-05</v>
      </c>
      <c r="I115" s="120"/>
      <c r="J115" s="121"/>
    </row>
    <row r="116" spans="3:10" ht="12.75">
      <c r="C116" t="s">
        <v>207</v>
      </c>
      <c r="D116" s="108">
        <v>1.0317</v>
      </c>
      <c r="E116" s="108">
        <v>1.0318</v>
      </c>
      <c r="F116" s="108">
        <f t="shared" si="0"/>
        <v>9.999999999998899E-05</v>
      </c>
      <c r="G116" s="108">
        <f>F115+F116</f>
        <v>0.00019999999999997797</v>
      </c>
      <c r="I116" s="120"/>
      <c r="J116" s="121"/>
    </row>
    <row r="117" spans="3:10" ht="12.75">
      <c r="C117" t="s">
        <v>208</v>
      </c>
      <c r="D117" s="108">
        <v>1.032</v>
      </c>
      <c r="E117" s="108">
        <v>1.0403</v>
      </c>
      <c r="F117" s="108">
        <f t="shared" si="0"/>
        <v>0.008299999999999974</v>
      </c>
      <c r="I117" s="120"/>
      <c r="J117" s="121"/>
    </row>
    <row r="118" spans="3:10" ht="12.75">
      <c r="C118" t="s">
        <v>209</v>
      </c>
      <c r="D118" s="108">
        <v>1.0225</v>
      </c>
      <c r="E118" s="108">
        <v>1.0356</v>
      </c>
      <c r="F118" s="108">
        <f t="shared" si="0"/>
        <v>0.013100000000000112</v>
      </c>
      <c r="G118" s="108">
        <f>F117+F118</f>
        <v>0.021400000000000086</v>
      </c>
      <c r="I118" s="120"/>
      <c r="J118" s="121"/>
    </row>
    <row r="119" spans="3:9" s="38" customFormat="1" ht="12.75">
      <c r="C119" s="38" t="s">
        <v>104</v>
      </c>
      <c r="D119" s="109">
        <v>1.0359</v>
      </c>
      <c r="E119" s="109">
        <v>1.0354</v>
      </c>
      <c r="F119" s="109">
        <f t="shared" si="0"/>
        <v>-0.0004999999999999449</v>
      </c>
      <c r="G119" s="109"/>
      <c r="H119" s="109"/>
      <c r="I119" s="119"/>
    </row>
    <row r="120" spans="1:10" ht="12.75">
      <c r="A120" t="s">
        <v>210</v>
      </c>
      <c r="B120" t="s">
        <v>227</v>
      </c>
      <c r="C120" t="s">
        <v>211</v>
      </c>
      <c r="D120" s="108">
        <v>1.0359</v>
      </c>
      <c r="E120" s="108">
        <v>1.092</v>
      </c>
      <c r="F120" s="108">
        <f t="shared" si="0"/>
        <v>0.05610000000000004</v>
      </c>
      <c r="I120" s="120"/>
      <c r="J120" s="121"/>
    </row>
    <row r="121" spans="3:10" ht="12.75">
      <c r="C121" t="s">
        <v>212</v>
      </c>
      <c r="D121" s="108">
        <v>1.0289</v>
      </c>
      <c r="E121" s="108">
        <v>1.0297</v>
      </c>
      <c r="F121" s="108">
        <f t="shared" si="0"/>
        <v>0.0008000000000001339</v>
      </c>
      <c r="G121" s="108">
        <f>F120+F121</f>
        <v>0.05690000000000017</v>
      </c>
      <c r="I121" s="120"/>
      <c r="J121" s="122">
        <f>(G121-$I$122)/G121</f>
        <v>-0.048330404217924616</v>
      </c>
    </row>
    <row r="122" spans="3:10" ht="12.75">
      <c r="C122" t="s">
        <v>213</v>
      </c>
      <c r="D122" s="108">
        <v>1.0006</v>
      </c>
      <c r="E122" s="108">
        <v>1.0028</v>
      </c>
      <c r="F122" s="108">
        <f t="shared" si="0"/>
        <v>0.0021999999999999797</v>
      </c>
      <c r="I122" s="120">
        <f>AVERAGE(G121,G123)</f>
        <v>0.05965000000000009</v>
      </c>
      <c r="J122" s="121"/>
    </row>
    <row r="123" spans="3:10" ht="12.75">
      <c r="C123" t="s">
        <v>214</v>
      </c>
      <c r="D123" s="108">
        <v>1.0069</v>
      </c>
      <c r="E123" s="108">
        <v>1.0671</v>
      </c>
      <c r="F123" s="108">
        <f t="shared" si="0"/>
        <v>0.06020000000000003</v>
      </c>
      <c r="G123" s="108">
        <f>F122+F123</f>
        <v>0.06240000000000001</v>
      </c>
      <c r="I123" s="120"/>
      <c r="J123" s="122">
        <f>(G123-$I$122)/G123</f>
        <v>0.04407051282051152</v>
      </c>
    </row>
    <row r="124" spans="3:10" ht="12.75">
      <c r="C124" t="s">
        <v>104</v>
      </c>
      <c r="D124" s="108">
        <v>1.0351</v>
      </c>
      <c r="E124" s="108">
        <v>1.0352</v>
      </c>
      <c r="F124" s="108">
        <f t="shared" si="0"/>
        <v>9.999999999998899E-05</v>
      </c>
      <c r="I124" s="120"/>
      <c r="J124" s="121"/>
    </row>
    <row r="125" spans="3:10" ht="12.75">
      <c r="C125" t="s">
        <v>215</v>
      </c>
      <c r="D125" s="108">
        <v>1.0068</v>
      </c>
      <c r="E125" s="108">
        <v>1.0381</v>
      </c>
      <c r="F125" s="108">
        <f t="shared" si="0"/>
        <v>0.031300000000000106</v>
      </c>
      <c r="I125" s="120"/>
      <c r="J125" s="121"/>
    </row>
    <row r="126" spans="3:10" ht="12.75">
      <c r="C126" t="s">
        <v>216</v>
      </c>
      <c r="D126" s="108">
        <v>1.0072</v>
      </c>
      <c r="E126" s="108">
        <v>1.0077</v>
      </c>
      <c r="F126" s="108">
        <f t="shared" si="0"/>
        <v>0.0004999999999999449</v>
      </c>
      <c r="G126" s="108">
        <f>F125+F126</f>
        <v>0.03180000000000005</v>
      </c>
      <c r="I126" s="120"/>
      <c r="J126" s="122">
        <f>(G126-$I$127)/G126</f>
        <v>-0.02044025157232825</v>
      </c>
    </row>
    <row r="127" spans="3:10" ht="12.75">
      <c r="C127" t="s">
        <v>217</v>
      </c>
      <c r="D127" s="108">
        <v>1.0074</v>
      </c>
      <c r="E127" s="108">
        <v>1.0401</v>
      </c>
      <c r="F127" s="108">
        <f t="shared" si="0"/>
        <v>0.03269999999999995</v>
      </c>
      <c r="I127" s="120">
        <f>AVERAGE(G126,G128)</f>
        <v>0.03245000000000009</v>
      </c>
      <c r="J127" s="121"/>
    </row>
    <row r="128" spans="3:10" ht="12.75">
      <c r="C128" t="s">
        <v>218</v>
      </c>
      <c r="D128" s="108">
        <v>1.0029</v>
      </c>
      <c r="E128" s="108">
        <v>1.0033</v>
      </c>
      <c r="F128" s="108">
        <f t="shared" si="0"/>
        <v>0.000400000000000178</v>
      </c>
      <c r="G128" s="108">
        <f>F127+F128</f>
        <v>0.03310000000000013</v>
      </c>
      <c r="I128" s="120"/>
      <c r="J128" s="122">
        <f>(G128-$I$127)/G128</f>
        <v>0.01963746223565066</v>
      </c>
    </row>
    <row r="129" spans="3:9" s="38" customFormat="1" ht="12.75">
      <c r="C129" s="38" t="s">
        <v>104</v>
      </c>
      <c r="D129" s="109">
        <v>1.035</v>
      </c>
      <c r="E129" s="109">
        <v>1.0349</v>
      </c>
      <c r="F129" s="109">
        <f t="shared" si="0"/>
        <v>-9.999999999998899E-05</v>
      </c>
      <c r="G129" s="109"/>
      <c r="H129" s="109"/>
      <c r="I129" s="119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C21" sqref="C21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8"/>
      <c r="K1" s="2"/>
      <c r="L1" s="126" t="s">
        <v>1</v>
      </c>
      <c r="M1" s="127"/>
      <c r="N1" s="127"/>
      <c r="O1" s="127"/>
      <c r="P1" s="127"/>
      <c r="Q1" s="128"/>
    </row>
    <row r="2" spans="1:21" ht="15.75" outlineLevel="1">
      <c r="A2" s="1" t="s">
        <v>69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0" t="s">
        <v>72</v>
      </c>
      <c r="D3" s="29"/>
      <c r="E3" s="23" t="s">
        <v>71</v>
      </c>
      <c r="F3" s="82" t="str">
        <f>Q8</f>
        <v>AK-F-a</v>
      </c>
      <c r="G3" s="13"/>
      <c r="H3" s="13" t="s">
        <v>5</v>
      </c>
      <c r="I3" s="25"/>
      <c r="J3" s="104">
        <v>44387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24</v>
      </c>
      <c r="D4" s="29"/>
      <c r="E4" s="2" t="s">
        <v>8</v>
      </c>
      <c r="F4" s="2"/>
      <c r="G4" s="6" t="str">
        <f>TimeSinceLast</f>
        <v>cold</v>
      </c>
      <c r="H4" s="19" t="s">
        <v>9</v>
      </c>
      <c r="I4" s="2"/>
      <c r="J4" s="6">
        <f>AmbientTemperature</f>
        <v>64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8.32</v>
      </c>
      <c r="D5" s="29"/>
      <c r="E5" s="2" t="s">
        <v>12</v>
      </c>
      <c r="F5" s="20"/>
      <c r="G5" s="18">
        <f>(StartTime)</f>
        <v>0</v>
      </c>
      <c r="H5" s="19"/>
      <c r="I5" s="21"/>
      <c r="J5" s="21"/>
      <c r="K5"/>
      <c r="L5" s="29"/>
      <c r="M5" s="29"/>
      <c r="N5" s="92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0.22</v>
      </c>
      <c r="D6" s="29"/>
      <c r="E6" s="23" t="s">
        <v>16</v>
      </c>
      <c r="F6" s="13"/>
      <c r="G6" s="13"/>
      <c r="H6" s="13"/>
      <c r="I6" s="13"/>
      <c r="J6" s="24"/>
      <c r="K6"/>
      <c r="L6" s="123" t="s">
        <v>14</v>
      </c>
      <c r="M6" s="124"/>
      <c r="N6" s="124"/>
      <c r="O6" s="124"/>
      <c r="P6" s="124"/>
      <c r="Q6" s="125"/>
    </row>
    <row r="7" spans="1:17" ht="12.75" outlineLevel="1">
      <c r="A7" s="65" t="s">
        <v>17</v>
      </c>
      <c r="B7" s="65"/>
      <c r="C7" s="33">
        <f>COUNT(PcWt)</f>
        <v>1</v>
      </c>
      <c r="D7" s="29"/>
      <c r="E7" s="2" t="s">
        <v>18</v>
      </c>
      <c r="F7" s="2"/>
      <c r="G7" s="6"/>
      <c r="H7" s="30" t="str">
        <f>O14</f>
        <v>TeePee</v>
      </c>
      <c r="I7" s="30"/>
      <c r="J7" s="30"/>
      <c r="K7"/>
      <c r="L7" t="s">
        <v>4</v>
      </c>
      <c r="M7"/>
      <c r="N7" s="55" t="s">
        <v>73</v>
      </c>
      <c r="O7" s="45" t="s">
        <v>5</v>
      </c>
      <c r="P7" s="45"/>
      <c r="Q7" s="81"/>
    </row>
    <row r="8" spans="1:17" ht="12.75" outlineLevel="1">
      <c r="A8" s="65" t="s">
        <v>19</v>
      </c>
      <c r="B8" s="65"/>
      <c r="C8" s="76" t="e">
        <f>(AVERAGE(Length)+SUM(Circumf))/(WtFuel-WtKindl)</f>
        <v>#DIV/0!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 t="s">
        <v>74</v>
      </c>
      <c r="O8" s="45" t="s">
        <v>70</v>
      </c>
      <c r="P8" s="45"/>
      <c r="Q8" s="55" t="s">
        <v>73</v>
      </c>
    </row>
    <row r="9" spans="1:17" ht="12.75" outlineLevel="1">
      <c r="A9" s="65" t="s">
        <v>21</v>
      </c>
      <c r="B9" s="65"/>
      <c r="C9" s="35">
        <f>(COUNT(StackTemp)-1)/12</f>
        <v>1.75</v>
      </c>
      <c r="D9" s="29"/>
      <c r="E9" s="2" t="s">
        <v>22</v>
      </c>
      <c r="F9" s="2"/>
      <c r="G9" s="6">
        <f>UnFuel</f>
        <v>0</v>
      </c>
      <c r="H9" s="30">
        <f>O17</f>
        <v>0</v>
      </c>
      <c r="I9" s="30"/>
      <c r="J9" s="30"/>
      <c r="K9"/>
      <c r="L9" t="s">
        <v>12</v>
      </c>
      <c r="M9"/>
      <c r="N9" s="80"/>
      <c r="O9" s="45" t="s">
        <v>9</v>
      </c>
      <c r="P9" s="45"/>
      <c r="Q9" s="36">
        <v>64</v>
      </c>
    </row>
    <row r="10" spans="1:17" ht="12.75" outlineLevel="1">
      <c r="A10" s="65" t="s">
        <v>23</v>
      </c>
      <c r="B10" s="65"/>
      <c r="C10" s="32">
        <f>AVERAGE(StackTemp)</f>
        <v>165.65000000000003</v>
      </c>
      <c r="D10" s="29"/>
      <c r="E10" s="101"/>
      <c r="F10" s="101"/>
      <c r="G10" s="101"/>
      <c r="H10" s="101"/>
      <c r="I10" s="102"/>
      <c r="J10" s="102"/>
      <c r="K10"/>
      <c r="N10" s="38"/>
      <c r="O10" s="45" t="s">
        <v>13</v>
      </c>
      <c r="P10" s="55"/>
      <c r="Q10" s="55"/>
    </row>
    <row r="11" spans="1:17" ht="12.75" outlineLevel="1">
      <c r="A11" s="65" t="s">
        <v>24</v>
      </c>
      <c r="B11" s="65"/>
      <c r="C11" s="76">
        <f>AVERAGE(Ocalc)/10-2.5</f>
        <v>14.3</v>
      </c>
      <c r="D11" s="29"/>
      <c r="E11" s="83"/>
      <c r="F11" s="83"/>
      <c r="G11" s="83"/>
      <c r="H11" s="102"/>
      <c r="I11" s="102"/>
      <c r="J11" s="102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AVERAGE(CO)/1000</f>
        <v>0.16818181818181818</v>
      </c>
      <c r="D12" s="29"/>
      <c r="E12" s="23" t="s">
        <v>26</v>
      </c>
      <c r="F12" s="13"/>
      <c r="G12" s="13"/>
      <c r="H12" s="23"/>
      <c r="I12" s="13"/>
      <c r="J12" s="24"/>
      <c r="K12"/>
      <c r="L12" s="123" t="s">
        <v>16</v>
      </c>
      <c r="M12" s="124"/>
      <c r="N12" s="124"/>
      <c r="O12" s="124"/>
      <c r="P12" s="124"/>
      <c r="Q12" s="125"/>
    </row>
    <row r="13" spans="1:17" ht="12.75">
      <c r="A13" s="65" t="s">
        <v>28</v>
      </c>
      <c r="B13" s="65"/>
      <c r="C13" s="77">
        <f>SQRT(528/(460+AvStackTemp))</f>
        <v>0.9186524483102312</v>
      </c>
      <c r="D13" s="83"/>
      <c r="E13" s="91" t="s">
        <v>29</v>
      </c>
      <c r="F13" s="93" t="s">
        <v>30</v>
      </c>
      <c r="G13" s="93" t="s">
        <v>31</v>
      </c>
      <c r="H13" s="93" t="s">
        <v>32</v>
      </c>
      <c r="I13" s="93" t="s">
        <v>33</v>
      </c>
      <c r="J13" s="93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3.1666666666666674</v>
      </c>
      <c r="D14" s="29"/>
      <c r="E14" s="97">
        <v>0</v>
      </c>
      <c r="F14" s="94">
        <v>90.2</v>
      </c>
      <c r="G14" s="94">
        <v>210</v>
      </c>
      <c r="H14" s="105">
        <v>0</v>
      </c>
      <c r="I14" s="105">
        <v>0</v>
      </c>
      <c r="J14" s="95"/>
      <c r="L14" s="1" t="s">
        <v>34</v>
      </c>
      <c r="N14" s="64" t="s">
        <v>75</v>
      </c>
      <c r="O14" s="54" t="s">
        <v>76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1.6423896103896103</v>
      </c>
      <c r="D15" s="29"/>
      <c r="E15" s="98">
        <v>5</v>
      </c>
      <c r="F15" s="94">
        <v>113.3</v>
      </c>
      <c r="G15" s="37">
        <v>174</v>
      </c>
      <c r="H15" s="37">
        <v>78.9</v>
      </c>
      <c r="I15" s="41">
        <v>23.4</v>
      </c>
      <c r="J15" s="96"/>
      <c r="L15" s="29"/>
      <c r="M15" s="29"/>
      <c r="N15" s="29"/>
      <c r="O15" s="57"/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11.153616000000001</v>
      </c>
      <c r="D16" s="29"/>
      <c r="E16" s="98">
        <v>10</v>
      </c>
      <c r="F16" s="94">
        <v>107.2</v>
      </c>
      <c r="G16" s="37">
        <v>194</v>
      </c>
      <c r="H16" s="37">
        <v>129.5</v>
      </c>
      <c r="I16" s="41">
        <v>10.2</v>
      </c>
      <c r="J16" s="96"/>
      <c r="L16" s="2" t="s">
        <v>37</v>
      </c>
      <c r="M16" s="2"/>
      <c r="N16" s="56">
        <v>0.22</v>
      </c>
      <c r="O16" s="57"/>
      <c r="P16" s="54"/>
      <c r="Q16" s="58"/>
    </row>
    <row r="17" spans="1:17" ht="12.75">
      <c r="A17" s="65" t="s">
        <v>40</v>
      </c>
      <c r="B17" s="65"/>
      <c r="C17" s="76">
        <f>gmKgCO*9.75/86</f>
        <v>3.5804882399577176</v>
      </c>
      <c r="D17" s="29"/>
      <c r="E17" s="98">
        <v>15</v>
      </c>
      <c r="F17" s="94">
        <v>132</v>
      </c>
      <c r="G17" s="37">
        <v>154</v>
      </c>
      <c r="H17" s="37">
        <v>505.3</v>
      </c>
      <c r="I17" s="41">
        <v>36.6</v>
      </c>
      <c r="J17" s="96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6">
        <f>gmKgCondar*33/86</f>
        <v>0.3555762905777622</v>
      </c>
      <c r="D18" s="29"/>
      <c r="E18" s="98">
        <v>20</v>
      </c>
      <c r="F18" s="94">
        <v>137</v>
      </c>
      <c r="G18" s="37">
        <v>177</v>
      </c>
      <c r="H18" s="37">
        <v>270.1</v>
      </c>
      <c r="I18" s="41">
        <v>21.4</v>
      </c>
      <c r="J18" s="96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5.282994186046515</v>
      </c>
      <c r="D19" s="29"/>
      <c r="E19" s="98">
        <v>25</v>
      </c>
      <c r="F19" s="94">
        <v>158.7</v>
      </c>
      <c r="G19" s="37">
        <v>151</v>
      </c>
      <c r="H19" s="37">
        <v>169.8</v>
      </c>
      <c r="I19" s="41">
        <v>38.5</v>
      </c>
      <c r="J19" s="96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v>0.0619</v>
      </c>
      <c r="D20" s="29"/>
      <c r="E20" s="98">
        <v>30</v>
      </c>
      <c r="F20" s="94">
        <v>171</v>
      </c>
      <c r="G20" s="37">
        <v>146</v>
      </c>
      <c r="H20" s="37">
        <v>169.9</v>
      </c>
      <c r="I20" s="41">
        <v>41.8</v>
      </c>
      <c r="J20" s="96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68">
        <f>(Catch/RunLength)*3.04*(DilutionFactor)/(0.4*StackTempFactor)</f>
        <v>0.9266533633238652</v>
      </c>
      <c r="D21" s="29"/>
      <c r="E21" s="98">
        <v>35</v>
      </c>
      <c r="F21" s="94">
        <v>201</v>
      </c>
      <c r="G21" s="37">
        <v>107</v>
      </c>
      <c r="H21" s="37">
        <v>500.3</v>
      </c>
      <c r="I21" s="41">
        <v>67.5</v>
      </c>
      <c r="J21" s="96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7" ht="12.75">
      <c r="A22" s="69" t="s">
        <v>51</v>
      </c>
      <c r="B22" s="70"/>
      <c r="C22" s="71">
        <f>59.3*AvCO*DilutionFactor</f>
        <v>31.58174242424243</v>
      </c>
      <c r="D22" s="29"/>
      <c r="E22" s="98">
        <v>40</v>
      </c>
      <c r="F22" s="94">
        <v>186.4</v>
      </c>
      <c r="G22" s="37">
        <v>123</v>
      </c>
      <c r="H22" s="37">
        <v>126</v>
      </c>
      <c r="I22" s="41">
        <v>57</v>
      </c>
      <c r="J22" s="96"/>
      <c r="L22" s="29"/>
      <c r="M22" s="1">
        <v>1</v>
      </c>
      <c r="N22" s="39">
        <v>8.1</v>
      </c>
      <c r="O22" s="39">
        <v>24</v>
      </c>
      <c r="P22" s="39"/>
      <c r="Q22" s="39"/>
    </row>
    <row r="23" spans="1:17" ht="12.75">
      <c r="A23" s="69" t="s">
        <v>52</v>
      </c>
      <c r="B23" s="72"/>
      <c r="C23" s="71">
        <f>100-COLoss-HCLoss</f>
        <v>96.06393546946452</v>
      </c>
      <c r="D23" s="29"/>
      <c r="E23" s="98">
        <v>45</v>
      </c>
      <c r="F23" s="94">
        <v>200.1</v>
      </c>
      <c r="G23" s="37">
        <v>137</v>
      </c>
      <c r="H23" s="37">
        <v>92.9</v>
      </c>
      <c r="I23" s="41">
        <v>47.8</v>
      </c>
      <c r="J23" s="96"/>
      <c r="L23" s="29"/>
      <c r="M23" s="1">
        <v>2</v>
      </c>
      <c r="N23" s="39"/>
      <c r="O23" s="39"/>
      <c r="P23" s="39"/>
      <c r="Q23" s="39"/>
    </row>
    <row r="24" spans="1:17" ht="12.75">
      <c r="A24" s="69" t="s">
        <v>53</v>
      </c>
      <c r="B24" s="70"/>
      <c r="C24" s="71">
        <f>100-DryGasLoss-BoilWaterLoss</f>
        <v>83.56338981395349</v>
      </c>
      <c r="D24" s="29"/>
      <c r="E24" s="98">
        <v>50</v>
      </c>
      <c r="F24" s="94">
        <v>202.9</v>
      </c>
      <c r="G24" s="37">
        <v>147</v>
      </c>
      <c r="H24" s="37">
        <v>124.6</v>
      </c>
      <c r="I24" s="41">
        <v>41.2</v>
      </c>
      <c r="J24" s="96"/>
      <c r="L24" s="29"/>
      <c r="M24" s="1">
        <v>3</v>
      </c>
      <c r="N24" s="39"/>
      <c r="O24" s="39"/>
      <c r="P24" s="39"/>
      <c r="Q24" s="39"/>
    </row>
    <row r="25" spans="1:17" ht="12.75">
      <c r="A25" s="73" t="s">
        <v>54</v>
      </c>
      <c r="B25" s="74"/>
      <c r="C25" s="75">
        <f>HTransEffic*CombustEffic/100</f>
        <v>80.27428086697337</v>
      </c>
      <c r="D25" s="29"/>
      <c r="E25" s="98">
        <v>55</v>
      </c>
      <c r="F25" s="94">
        <v>202.5</v>
      </c>
      <c r="G25" s="37">
        <v>154</v>
      </c>
      <c r="H25" s="37">
        <v>147.1</v>
      </c>
      <c r="I25" s="41">
        <v>36.6</v>
      </c>
      <c r="J25" s="96"/>
      <c r="L25" s="29"/>
      <c r="M25" s="1">
        <v>4</v>
      </c>
      <c r="N25" s="39"/>
      <c r="O25" s="39"/>
      <c r="P25" s="39"/>
      <c r="Q25" s="39"/>
    </row>
    <row r="26" spans="1:17" ht="12.75">
      <c r="A26" s="9" t="s">
        <v>55</v>
      </c>
      <c r="B26" s="10" t="s">
        <v>56</v>
      </c>
      <c r="C26" s="10" t="s">
        <v>57</v>
      </c>
      <c r="D26" s="10" t="s">
        <v>58</v>
      </c>
      <c r="E26" s="98">
        <v>60</v>
      </c>
      <c r="F26" s="94">
        <v>207.9</v>
      </c>
      <c r="G26" s="37">
        <v>160</v>
      </c>
      <c r="H26" s="37">
        <v>151.5</v>
      </c>
      <c r="I26" s="41">
        <v>32.6</v>
      </c>
      <c r="J26" s="96"/>
      <c r="L26" s="29"/>
      <c r="M26" s="1">
        <v>5</v>
      </c>
      <c r="N26" s="39"/>
      <c r="O26" s="39"/>
      <c r="P26" s="39"/>
      <c r="Q26" s="39"/>
    </row>
    <row r="27" spans="1:17" ht="12.75">
      <c r="A27" s="11" t="s">
        <v>59</v>
      </c>
      <c r="B27" s="12" t="s">
        <v>60</v>
      </c>
      <c r="C27" s="12" t="s">
        <v>60</v>
      </c>
      <c r="D27" s="12" t="s">
        <v>61</v>
      </c>
      <c r="E27" s="98">
        <v>65</v>
      </c>
      <c r="F27" s="94">
        <v>208.9</v>
      </c>
      <c r="G27" s="37">
        <v>153</v>
      </c>
      <c r="H27" s="37">
        <v>100.9</v>
      </c>
      <c r="I27" s="41">
        <v>37.2</v>
      </c>
      <c r="J27" s="96"/>
      <c r="L27" s="29"/>
      <c r="M27" s="1">
        <v>6</v>
      </c>
      <c r="N27" s="39"/>
      <c r="O27" s="39"/>
      <c r="P27" s="39"/>
      <c r="Q27" s="39"/>
    </row>
    <row r="28" spans="1:17" ht="12.75">
      <c r="A28" s="14">
        <v>1</v>
      </c>
      <c r="B28" s="55">
        <v>1.0394</v>
      </c>
      <c r="C28" s="55">
        <v>1.0993</v>
      </c>
      <c r="D28" s="5">
        <f aca="true" t="shared" si="0" ref="D28:D33">IF(FiltDirty-FiltClean&gt;0,FiltDirty-FiltClean,0)</f>
        <v>0.05989999999999984</v>
      </c>
      <c r="E28" s="98">
        <v>70</v>
      </c>
      <c r="F28" s="94">
        <v>205.6</v>
      </c>
      <c r="G28" s="37">
        <v>174</v>
      </c>
      <c r="H28" s="37">
        <v>286.8</v>
      </c>
      <c r="I28" s="41">
        <v>23.4</v>
      </c>
      <c r="J28" s="96"/>
      <c r="L28" s="29"/>
      <c r="M28" s="1">
        <v>7</v>
      </c>
      <c r="N28" s="39"/>
      <c r="O28" s="39"/>
      <c r="P28" s="39"/>
      <c r="Q28" s="39"/>
    </row>
    <row r="29" spans="1:17" ht="12.75">
      <c r="A29" s="14">
        <v>2</v>
      </c>
      <c r="B29" s="55">
        <v>1.0354</v>
      </c>
      <c r="C29" s="55">
        <v>1.0374</v>
      </c>
      <c r="D29" s="5">
        <f t="shared" si="0"/>
        <v>0.0020000000000000018</v>
      </c>
      <c r="E29" s="98">
        <v>75</v>
      </c>
      <c r="F29" s="94">
        <v>203.3</v>
      </c>
      <c r="G29" s="37">
        <v>182</v>
      </c>
      <c r="H29" s="37">
        <v>287.6</v>
      </c>
      <c r="I29" s="41">
        <v>18.1</v>
      </c>
      <c r="J29" s="96"/>
      <c r="L29" s="29"/>
      <c r="M29" s="1">
        <v>8</v>
      </c>
      <c r="N29" s="39"/>
      <c r="O29" s="39"/>
      <c r="P29" s="39"/>
      <c r="Q29" s="39"/>
    </row>
    <row r="30" spans="1:17" ht="12.75">
      <c r="A30" s="14">
        <v>3</v>
      </c>
      <c r="B30" s="55"/>
      <c r="C30" s="55"/>
      <c r="D30" s="5">
        <f t="shared" si="0"/>
        <v>0</v>
      </c>
      <c r="E30" s="98">
        <v>80</v>
      </c>
      <c r="F30" s="94">
        <v>205.4</v>
      </c>
      <c r="G30" s="37">
        <v>187</v>
      </c>
      <c r="H30" s="37">
        <v>231.5</v>
      </c>
      <c r="I30" s="41">
        <v>14.8</v>
      </c>
      <c r="J30" s="96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98">
        <v>85</v>
      </c>
      <c r="F31" s="94">
        <v>206.7</v>
      </c>
      <c r="G31" s="37">
        <v>190</v>
      </c>
      <c r="H31" s="37">
        <v>183.2</v>
      </c>
      <c r="I31" s="41">
        <v>12.8</v>
      </c>
      <c r="J31" s="96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98">
        <v>90</v>
      </c>
      <c r="F32" s="94">
        <v>125.3</v>
      </c>
      <c r="G32" s="37">
        <v>206</v>
      </c>
      <c r="H32" s="37">
        <v>7.5</v>
      </c>
      <c r="I32" s="41">
        <v>0</v>
      </c>
      <c r="J32" s="96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98">
        <v>95</v>
      </c>
      <c r="F33" s="94">
        <v>82.6</v>
      </c>
      <c r="G33" s="37">
        <v>206</v>
      </c>
      <c r="H33" s="37">
        <v>1.1</v>
      </c>
      <c r="I33" s="41">
        <v>0</v>
      </c>
      <c r="J33" s="96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62</v>
      </c>
      <c r="B34" s="55">
        <v>2.2222</v>
      </c>
      <c r="C34" s="55">
        <v>2.2222</v>
      </c>
      <c r="D34" s="5"/>
      <c r="E34" s="98">
        <v>100</v>
      </c>
      <c r="F34" s="94">
        <v>199.5</v>
      </c>
      <c r="G34" s="37">
        <v>198</v>
      </c>
      <c r="H34" s="37">
        <v>134.2</v>
      </c>
      <c r="I34" s="41">
        <v>8.5</v>
      </c>
      <c r="J34" s="96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63</v>
      </c>
      <c r="B35" s="55">
        <v>2.2222</v>
      </c>
      <c r="C35" s="55">
        <v>2.2222</v>
      </c>
      <c r="D35" s="84"/>
      <c r="E35" s="98">
        <v>105</v>
      </c>
      <c r="F35" s="94">
        <v>96.8</v>
      </c>
      <c r="G35" s="37">
        <v>208</v>
      </c>
      <c r="H35" s="37">
        <v>1.3</v>
      </c>
      <c r="I35" s="41">
        <v>0</v>
      </c>
      <c r="J35" s="96"/>
      <c r="L35" s="29"/>
      <c r="M35" s="1">
        <v>14</v>
      </c>
      <c r="N35" s="39"/>
      <c r="O35" s="39"/>
      <c r="P35" s="39"/>
      <c r="Q35" s="39"/>
    </row>
    <row r="36" spans="1:17" ht="13.5" thickBot="1">
      <c r="A36" s="103"/>
      <c r="B36" s="5" t="s">
        <v>64</v>
      </c>
      <c r="C36" s="5"/>
      <c r="D36" s="5">
        <f>+COUNT(FiltClean)*(AVERAGE(CleanControl)-AVERAGE(DirtyControl))</f>
        <v>0</v>
      </c>
      <c r="E36" s="98">
        <v>110</v>
      </c>
      <c r="F36" s="94"/>
      <c r="G36" s="37"/>
      <c r="H36" s="37"/>
      <c r="I36" s="41"/>
      <c r="J36" s="96"/>
      <c r="L36" s="29"/>
      <c r="M36" s="1">
        <v>15</v>
      </c>
      <c r="N36" s="39"/>
      <c r="O36" s="39"/>
      <c r="P36" s="39"/>
      <c r="Q36" s="39"/>
    </row>
    <row r="37" spans="1:17" ht="13.5" thickBot="1">
      <c r="A37" s="103"/>
      <c r="B37" s="8" t="s">
        <v>65</v>
      </c>
      <c r="C37" s="7"/>
      <c r="D37" s="7">
        <f>SUM(D28:D33)+D36</f>
        <v>0.061899999999999844</v>
      </c>
      <c r="E37" s="98">
        <v>115</v>
      </c>
      <c r="F37" s="94"/>
      <c r="G37" s="37"/>
      <c r="H37" s="37"/>
      <c r="I37" s="41"/>
      <c r="J37" s="96"/>
      <c r="L37" s="29"/>
      <c r="M37" s="1">
        <v>16</v>
      </c>
      <c r="N37" s="39"/>
      <c r="O37" s="39"/>
      <c r="P37" s="39"/>
      <c r="Q37" s="39"/>
    </row>
    <row r="38" spans="1:17" ht="12.75">
      <c r="A38" s="101"/>
      <c r="B38"/>
      <c r="C38"/>
      <c r="D38"/>
      <c r="E38" s="98">
        <v>120</v>
      </c>
      <c r="F38" s="94"/>
      <c r="G38" s="37"/>
      <c r="H38" s="37"/>
      <c r="I38" s="41"/>
      <c r="J38" s="96"/>
      <c r="L38" s="29"/>
      <c r="M38" s="1">
        <v>17</v>
      </c>
      <c r="N38" s="39"/>
      <c r="O38" s="39"/>
      <c r="P38" s="39"/>
      <c r="Q38" s="39"/>
    </row>
    <row r="39" spans="1:17" ht="12.75">
      <c r="A39" s="101"/>
      <c r="B39" s="2" t="s">
        <v>66</v>
      </c>
      <c r="C39" s="2"/>
      <c r="D39" s="55"/>
      <c r="E39" s="98">
        <v>125</v>
      </c>
      <c r="F39" s="37"/>
      <c r="G39" s="37"/>
      <c r="H39" s="40"/>
      <c r="I39" s="41"/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67</v>
      </c>
      <c r="C40" s="2"/>
      <c r="D40" s="5"/>
      <c r="E40" s="98">
        <v>130</v>
      </c>
      <c r="F40" s="37"/>
      <c r="G40" s="37"/>
      <c r="H40" s="40"/>
      <c r="I40" s="41"/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98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</row>
    <row r="42" spans="1:17" ht="12.75">
      <c r="A42" s="101"/>
      <c r="B42" s="2" t="s">
        <v>67</v>
      </c>
      <c r="C42" s="2"/>
      <c r="D42" s="5"/>
      <c r="E42" s="98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</row>
    <row r="43" spans="1:17" ht="12.75">
      <c r="A43" s="101"/>
      <c r="B43"/>
      <c r="C43"/>
      <c r="D43"/>
      <c r="E43" s="98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8">
        <v>150</v>
      </c>
      <c r="F44" s="37"/>
      <c r="G44" s="37"/>
      <c r="H44" s="40"/>
      <c r="I44" s="41"/>
      <c r="J44" s="85"/>
      <c r="L44"/>
    </row>
    <row r="45" spans="1:12" ht="12.75">
      <c r="A45" s="29"/>
      <c r="B45"/>
      <c r="C45"/>
      <c r="D45"/>
      <c r="E45" s="98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8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9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Y11" sqref="Y11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8"/>
      <c r="K1" s="2"/>
      <c r="L1" s="126" t="s">
        <v>1</v>
      </c>
      <c r="M1" s="127"/>
      <c r="N1" s="127"/>
      <c r="O1" s="127"/>
      <c r="P1" s="127"/>
      <c r="Q1" s="128"/>
    </row>
    <row r="2" spans="1:21" ht="15.75" outlineLevel="1">
      <c r="A2" s="1" t="s">
        <v>69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9.5" outlineLevel="1">
      <c r="A3" s="28" t="s">
        <v>4</v>
      </c>
      <c r="B3" s="26"/>
      <c r="C3" s="100" t="s">
        <v>170</v>
      </c>
      <c r="D3" s="29"/>
      <c r="E3" s="23" t="s">
        <v>71</v>
      </c>
      <c r="F3" s="82" t="str">
        <f>Q8</f>
        <v>AK-F-a</v>
      </c>
      <c r="G3" s="13"/>
      <c r="H3" s="13" t="s">
        <v>5</v>
      </c>
      <c r="I3" s="25"/>
      <c r="J3" s="104" t="s">
        <v>171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24</v>
      </c>
      <c r="D4" s="29"/>
      <c r="E4" s="2" t="s">
        <v>8</v>
      </c>
      <c r="F4" s="2"/>
      <c r="G4" s="6" t="str">
        <f>TimeSinceLast</f>
        <v>cold</v>
      </c>
      <c r="H4" s="19" t="s">
        <v>9</v>
      </c>
      <c r="I4" s="2"/>
      <c r="J4" s="6">
        <f>AmbientTemperature</f>
        <v>64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8.32</v>
      </c>
      <c r="D5" s="29"/>
      <c r="E5" s="2" t="s">
        <v>12</v>
      </c>
      <c r="F5" s="20"/>
      <c r="G5" s="18">
        <f>(StartTime)</f>
        <v>0</v>
      </c>
      <c r="H5" s="19"/>
      <c r="I5" s="21"/>
      <c r="J5" s="21"/>
      <c r="K5"/>
      <c r="L5" s="29"/>
      <c r="M5" s="29"/>
      <c r="N5" s="92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0.22</v>
      </c>
      <c r="D6" s="29"/>
      <c r="E6" s="23" t="s">
        <v>16</v>
      </c>
      <c r="F6" s="13"/>
      <c r="G6" s="13"/>
      <c r="H6" s="13"/>
      <c r="I6" s="13"/>
      <c r="J6" s="24"/>
      <c r="K6"/>
      <c r="L6" s="123" t="s">
        <v>14</v>
      </c>
      <c r="M6" s="124"/>
      <c r="N6" s="124"/>
      <c r="O6" s="124"/>
      <c r="P6" s="124"/>
      <c r="Q6" s="125"/>
    </row>
    <row r="7" spans="1:17" ht="12.75" outlineLevel="1">
      <c r="A7" s="65" t="s">
        <v>17</v>
      </c>
      <c r="B7" s="65"/>
      <c r="C7" s="33">
        <f>COUNT(PcWt)</f>
        <v>1</v>
      </c>
      <c r="D7" s="29"/>
      <c r="E7" s="2" t="s">
        <v>18</v>
      </c>
      <c r="F7" s="2"/>
      <c r="G7" s="6"/>
      <c r="H7" s="30"/>
      <c r="I7" s="30"/>
      <c r="J7" s="30"/>
      <c r="K7"/>
      <c r="L7" t="s">
        <v>4</v>
      </c>
      <c r="M7"/>
      <c r="N7" s="55" t="s">
        <v>73</v>
      </c>
      <c r="O7" s="45" t="s">
        <v>5</v>
      </c>
      <c r="P7" s="45"/>
      <c r="Q7" s="81"/>
    </row>
    <row r="8" spans="1:17" ht="12.75" outlineLevel="1">
      <c r="A8" s="65" t="s">
        <v>19</v>
      </c>
      <c r="B8" s="65"/>
      <c r="C8" s="76" t="e">
        <f>(AVERAGE(Length)+SUM(Circumf))/(WtFuel-WtKindl)</f>
        <v>#DIV/0!</v>
      </c>
      <c r="D8" s="29"/>
      <c r="E8" s="2" t="s">
        <v>20</v>
      </c>
      <c r="F8" s="4"/>
      <c r="G8" s="22"/>
      <c r="H8" s="30" t="str">
        <f>O15</f>
        <v>Front ignition</v>
      </c>
      <c r="I8" s="30"/>
      <c r="J8" s="30"/>
      <c r="K8"/>
      <c r="L8" t="s">
        <v>8</v>
      </c>
      <c r="M8"/>
      <c r="N8" s="36" t="s">
        <v>74</v>
      </c>
      <c r="O8" s="45" t="s">
        <v>70</v>
      </c>
      <c r="P8" s="45"/>
      <c r="Q8" s="55" t="s">
        <v>73</v>
      </c>
    </row>
    <row r="9" spans="1:17" ht="12.75" outlineLevel="1">
      <c r="A9" s="65" t="s">
        <v>21</v>
      </c>
      <c r="B9" s="65"/>
      <c r="C9" s="35">
        <f>(COUNT(StackTemp)-1)/12</f>
        <v>2.3333333333333335</v>
      </c>
      <c r="D9" s="29"/>
      <c r="E9" s="2" t="s">
        <v>22</v>
      </c>
      <c r="F9" s="2"/>
      <c r="G9" s="6">
        <f>UnFuel</f>
        <v>0</v>
      </c>
      <c r="H9" s="30">
        <f>O17</f>
        <v>0</v>
      </c>
      <c r="I9" s="30"/>
      <c r="J9" s="30"/>
      <c r="K9"/>
      <c r="L9" t="s">
        <v>12</v>
      </c>
      <c r="M9"/>
      <c r="N9" s="80"/>
      <c r="O9" s="45" t="s">
        <v>9</v>
      </c>
      <c r="P9" s="45"/>
      <c r="Q9" s="36">
        <v>64</v>
      </c>
    </row>
    <row r="10" spans="1:17" ht="12.75" outlineLevel="1">
      <c r="A10" s="65" t="s">
        <v>23</v>
      </c>
      <c r="B10" s="65"/>
      <c r="C10" s="32">
        <f>AVERAGE(StackTemp)</f>
        <v>184.3827586206896</v>
      </c>
      <c r="D10" s="29"/>
      <c r="E10" s="101"/>
      <c r="F10" s="101"/>
      <c r="G10" s="101"/>
      <c r="H10" s="101"/>
      <c r="I10" s="102"/>
      <c r="J10" s="102"/>
      <c r="K10"/>
      <c r="N10" s="38"/>
      <c r="O10" s="45" t="s">
        <v>13</v>
      </c>
      <c r="P10" s="55"/>
      <c r="Q10" s="55"/>
    </row>
    <row r="11" spans="1:17" ht="12.75" outlineLevel="1">
      <c r="A11" s="65" t="s">
        <v>24</v>
      </c>
      <c r="B11" s="65"/>
      <c r="C11" s="76">
        <f>AVERAGE(Ocalc)/10-2.5</f>
        <v>12.691666666666666</v>
      </c>
      <c r="D11" s="29"/>
      <c r="E11" s="83"/>
      <c r="F11" s="83"/>
      <c r="G11" s="83"/>
      <c r="H11" s="102"/>
      <c r="I11" s="102"/>
      <c r="J11" s="102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AVERAGE(CO)/1000</f>
        <v>0.23897241379310347</v>
      </c>
      <c r="D12" s="29"/>
      <c r="E12" s="23" t="s">
        <v>26</v>
      </c>
      <c r="F12" s="13"/>
      <c r="G12" s="13"/>
      <c r="H12" s="23"/>
      <c r="I12" s="13"/>
      <c r="J12" s="24"/>
      <c r="K12"/>
      <c r="L12" s="123" t="s">
        <v>16</v>
      </c>
      <c r="M12" s="124"/>
      <c r="N12" s="124"/>
      <c r="O12" s="124"/>
      <c r="P12" s="124"/>
      <c r="Q12" s="125"/>
    </row>
    <row r="13" spans="1:17" ht="12.75">
      <c r="A13" s="65" t="s">
        <v>28</v>
      </c>
      <c r="B13" s="65"/>
      <c r="C13" s="77">
        <f>SQRT(528/(460+AvStackTemp))</f>
        <v>0.9052009590221433</v>
      </c>
      <c r="D13" s="83"/>
      <c r="E13" s="91" t="s">
        <v>29</v>
      </c>
      <c r="F13" s="93" t="s">
        <v>30</v>
      </c>
      <c r="G13" s="93" t="s">
        <v>31</v>
      </c>
      <c r="H13" s="93" t="s">
        <v>32</v>
      </c>
      <c r="I13" s="93" t="s">
        <v>33</v>
      </c>
      <c r="J13" s="93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2.5461928934010154</v>
      </c>
      <c r="D14" s="29"/>
      <c r="E14" s="113">
        <v>0</v>
      </c>
      <c r="F14" s="114">
        <v>75</v>
      </c>
      <c r="G14" s="114">
        <v>206</v>
      </c>
      <c r="H14" s="114">
        <v>0</v>
      </c>
      <c r="I14" s="115">
        <v>0</v>
      </c>
      <c r="J14" s="95"/>
      <c r="L14" s="1" t="s">
        <v>34</v>
      </c>
      <c r="N14" s="64" t="s">
        <v>172</v>
      </c>
      <c r="O14" s="54" t="s">
        <v>173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1.2317922077922077</v>
      </c>
      <c r="D15" s="29"/>
      <c r="E15" s="113">
        <v>5</v>
      </c>
      <c r="F15" s="114">
        <v>127.1</v>
      </c>
      <c r="G15" s="114">
        <v>99</v>
      </c>
      <c r="H15" s="114">
        <v>764.2</v>
      </c>
      <c r="I15" s="115">
        <v>72.6</v>
      </c>
      <c r="J15" s="96"/>
      <c r="L15" s="29"/>
      <c r="M15" s="29"/>
      <c r="N15" s="29"/>
      <c r="O15" s="57" t="s">
        <v>174</v>
      </c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11.240536</v>
      </c>
      <c r="D16" s="29"/>
      <c r="E16" s="113">
        <v>10</v>
      </c>
      <c r="F16" s="114">
        <v>137.6</v>
      </c>
      <c r="G16" s="114">
        <v>111</v>
      </c>
      <c r="H16" s="114">
        <v>772.4</v>
      </c>
      <c r="I16" s="115">
        <v>64.7</v>
      </c>
      <c r="J16" s="96"/>
      <c r="L16" s="2" t="s">
        <v>37</v>
      </c>
      <c r="M16" s="2"/>
      <c r="N16" s="56">
        <v>0.22</v>
      </c>
      <c r="O16" s="57"/>
      <c r="P16" s="54"/>
      <c r="Q16" s="58"/>
    </row>
    <row r="17" spans="1:17" ht="12.75">
      <c r="A17" s="65" t="s">
        <v>40</v>
      </c>
      <c r="B17" s="65"/>
      <c r="C17" s="76">
        <f>gmKgCO*9.75/86</f>
        <v>4.090721654643225</v>
      </c>
      <c r="D17" s="29"/>
      <c r="E17" s="113">
        <v>15</v>
      </c>
      <c r="F17" s="114">
        <v>156</v>
      </c>
      <c r="G17" s="114">
        <v>98</v>
      </c>
      <c r="H17" s="114">
        <v>647.4</v>
      </c>
      <c r="I17" s="115">
        <v>73.3</v>
      </c>
      <c r="J17" s="96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6">
        <f>gmKgCondar*33/86</f>
        <v>0.1416783981666601</v>
      </c>
      <c r="D18" s="29"/>
      <c r="E18" s="113">
        <v>20</v>
      </c>
      <c r="F18" s="114">
        <v>171.1</v>
      </c>
      <c r="G18" s="114">
        <v>95</v>
      </c>
      <c r="H18" s="114">
        <v>373.1</v>
      </c>
      <c r="I18" s="115">
        <v>75.3</v>
      </c>
      <c r="J18" s="96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5.079777333620993</v>
      </c>
      <c r="D19" s="29"/>
      <c r="E19" s="113">
        <v>25</v>
      </c>
      <c r="F19" s="114">
        <v>142.8</v>
      </c>
      <c r="G19" s="114">
        <v>137</v>
      </c>
      <c r="H19" s="114">
        <v>1100</v>
      </c>
      <c r="I19" s="115">
        <v>47.5</v>
      </c>
      <c r="J19" s="96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v>0.0619</v>
      </c>
      <c r="D20" s="29"/>
      <c r="E20" s="113">
        <v>30</v>
      </c>
      <c r="F20" s="114">
        <v>147.7</v>
      </c>
      <c r="G20" s="114">
        <v>137</v>
      </c>
      <c r="H20" s="114">
        <v>1000</v>
      </c>
      <c r="I20" s="115">
        <v>47.5</v>
      </c>
      <c r="J20" s="96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68">
        <f>(Catch/RunLength)*3.04*(DilutionFactor)/(0.4*StackTempFactor)</f>
        <v>0.3692224921919021</v>
      </c>
      <c r="D21" s="29"/>
      <c r="E21" s="113">
        <v>35</v>
      </c>
      <c r="F21" s="114">
        <v>172.9</v>
      </c>
      <c r="G21" s="114">
        <v>90</v>
      </c>
      <c r="H21" s="114">
        <v>390.2</v>
      </c>
      <c r="I21" s="115">
        <v>78.6</v>
      </c>
      <c r="J21" s="96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7" ht="12.75">
      <c r="A22" s="69" t="s">
        <v>51</v>
      </c>
      <c r="B22" s="70"/>
      <c r="C22" s="71">
        <f>59.3*AvCO*DilutionFactor</f>
        <v>36.082262799929985</v>
      </c>
      <c r="D22" s="29"/>
      <c r="E22" s="113">
        <v>40</v>
      </c>
      <c r="F22" s="116">
        <v>190.2</v>
      </c>
      <c r="G22" s="116">
        <v>125</v>
      </c>
      <c r="H22" s="114">
        <v>103.8</v>
      </c>
      <c r="I22" s="115">
        <v>55.5</v>
      </c>
      <c r="J22" s="96"/>
      <c r="L22" s="29"/>
      <c r="M22" s="1">
        <v>1</v>
      </c>
      <c r="N22" s="39">
        <v>8.1</v>
      </c>
      <c r="O22" s="39">
        <v>24</v>
      </c>
      <c r="P22" s="39"/>
      <c r="Q22" s="39"/>
    </row>
    <row r="23" spans="1:17" ht="12.75">
      <c r="A23" s="69" t="s">
        <v>52</v>
      </c>
      <c r="B23" s="72"/>
      <c r="C23" s="71">
        <f>100-COLoss-HCLoss</f>
        <v>95.7675999471901</v>
      </c>
      <c r="D23" s="29"/>
      <c r="E23" s="113">
        <v>45</v>
      </c>
      <c r="F23" s="116">
        <v>187.4</v>
      </c>
      <c r="G23" s="116">
        <v>129</v>
      </c>
      <c r="H23" s="114">
        <v>129.6</v>
      </c>
      <c r="I23" s="115">
        <v>52.8</v>
      </c>
      <c r="J23" s="96"/>
      <c r="L23" s="29"/>
      <c r="M23" s="1">
        <v>2</v>
      </c>
      <c r="N23" s="39"/>
      <c r="O23" s="39"/>
      <c r="P23" s="39"/>
      <c r="Q23" s="39"/>
    </row>
    <row r="24" spans="1:17" ht="12.75">
      <c r="A24" s="69" t="s">
        <v>53</v>
      </c>
      <c r="B24" s="70"/>
      <c r="C24" s="71">
        <f>100-DryGasLoss-BoilWaterLoss</f>
        <v>83.679686666379</v>
      </c>
      <c r="D24" s="29"/>
      <c r="E24" s="113">
        <v>50</v>
      </c>
      <c r="F24" s="116">
        <v>192</v>
      </c>
      <c r="G24" s="116">
        <v>128</v>
      </c>
      <c r="H24" s="114">
        <v>76.2</v>
      </c>
      <c r="I24" s="115">
        <v>53.5</v>
      </c>
      <c r="J24" s="96"/>
      <c r="L24" s="29"/>
      <c r="M24" s="1">
        <v>3</v>
      </c>
      <c r="N24" s="39"/>
      <c r="O24" s="39"/>
      <c r="P24" s="39"/>
      <c r="Q24" s="39"/>
    </row>
    <row r="25" spans="1:17" ht="12.75">
      <c r="A25" s="73" t="s">
        <v>54</v>
      </c>
      <c r="B25" s="74"/>
      <c r="C25" s="75">
        <f>HTransEffic*CombustEffic/100</f>
        <v>80.13802756372003</v>
      </c>
      <c r="D25" s="29"/>
      <c r="E25" s="113">
        <v>55</v>
      </c>
      <c r="F25" s="116">
        <v>195.4</v>
      </c>
      <c r="G25" s="116">
        <v>150</v>
      </c>
      <c r="H25" s="114">
        <v>140</v>
      </c>
      <c r="I25" s="115">
        <v>39</v>
      </c>
      <c r="J25" s="96"/>
      <c r="L25" s="29"/>
      <c r="M25" s="1">
        <v>4</v>
      </c>
      <c r="N25" s="39"/>
      <c r="O25" s="39"/>
      <c r="P25" s="39"/>
      <c r="Q25" s="39"/>
    </row>
    <row r="26" spans="1:17" ht="12.75">
      <c r="A26" s="9" t="s">
        <v>55</v>
      </c>
      <c r="B26" s="10" t="s">
        <v>56</v>
      </c>
      <c r="C26" s="10" t="s">
        <v>57</v>
      </c>
      <c r="D26" s="10" t="s">
        <v>58</v>
      </c>
      <c r="E26" s="113">
        <v>60</v>
      </c>
      <c r="F26" s="116">
        <v>197.8</v>
      </c>
      <c r="G26" s="116">
        <v>120</v>
      </c>
      <c r="H26" s="114">
        <v>29.9</v>
      </c>
      <c r="I26" s="115">
        <v>58.8</v>
      </c>
      <c r="J26" s="96"/>
      <c r="L26" s="29"/>
      <c r="M26" s="1">
        <v>5</v>
      </c>
      <c r="N26" s="39"/>
      <c r="O26" s="39"/>
      <c r="P26" s="39"/>
      <c r="Q26" s="39"/>
    </row>
    <row r="27" spans="1:17" ht="12.75">
      <c r="A27" s="11" t="s">
        <v>59</v>
      </c>
      <c r="B27" s="12" t="s">
        <v>60</v>
      </c>
      <c r="C27" s="12" t="s">
        <v>60</v>
      </c>
      <c r="D27" s="12" t="s">
        <v>61</v>
      </c>
      <c r="E27" s="113">
        <v>65</v>
      </c>
      <c r="F27" s="116">
        <v>201.2</v>
      </c>
      <c r="G27" s="116">
        <v>144</v>
      </c>
      <c r="H27" s="114">
        <v>148.3</v>
      </c>
      <c r="I27" s="115">
        <v>42.9</v>
      </c>
      <c r="J27" s="96"/>
      <c r="L27" s="29"/>
      <c r="M27" s="1">
        <v>6</v>
      </c>
      <c r="N27" s="39"/>
      <c r="O27" s="39"/>
      <c r="P27" s="39"/>
      <c r="Q27" s="39"/>
    </row>
    <row r="28" spans="1:17" ht="12.75">
      <c r="A28" s="14">
        <v>1</v>
      </c>
      <c r="B28" s="108">
        <v>1.0359</v>
      </c>
      <c r="C28" s="108">
        <v>1.0365</v>
      </c>
      <c r="D28" s="5">
        <f aca="true" t="shared" si="0" ref="D28:D33">IF(FiltDirty-FiltClean&gt;0,FiltDirty-FiltClean,0)</f>
        <v>0.0005999999999999339</v>
      </c>
      <c r="E28" s="113">
        <v>70</v>
      </c>
      <c r="F28" s="116">
        <v>203.9</v>
      </c>
      <c r="G28" s="116">
        <v>149</v>
      </c>
      <c r="H28" s="114">
        <v>68.2</v>
      </c>
      <c r="I28" s="115">
        <v>39.6</v>
      </c>
      <c r="J28" s="96"/>
      <c r="L28" s="29"/>
      <c r="M28" s="1">
        <v>7</v>
      </c>
      <c r="N28" s="39"/>
      <c r="O28" s="39"/>
      <c r="P28" s="39"/>
      <c r="Q28" s="39"/>
    </row>
    <row r="29" spans="1:17" ht="12.75">
      <c r="A29" s="14">
        <v>2</v>
      </c>
      <c r="B29" s="108">
        <v>1.0398</v>
      </c>
      <c r="C29" s="108">
        <v>1.0807</v>
      </c>
      <c r="D29" s="5">
        <f t="shared" si="0"/>
        <v>0.040899999999999936</v>
      </c>
      <c r="E29" s="113">
        <v>75</v>
      </c>
      <c r="F29" s="116">
        <v>205.7</v>
      </c>
      <c r="G29" s="116">
        <v>171</v>
      </c>
      <c r="H29" s="114">
        <v>349.4</v>
      </c>
      <c r="I29" s="115">
        <v>25.1</v>
      </c>
      <c r="J29" s="96"/>
      <c r="L29" s="29"/>
      <c r="M29" s="1">
        <v>8</v>
      </c>
      <c r="N29" s="39"/>
      <c r="O29" s="39"/>
      <c r="P29" s="39"/>
      <c r="Q29" s="39"/>
    </row>
    <row r="30" spans="1:17" ht="12.75">
      <c r="A30" s="14">
        <v>3</v>
      </c>
      <c r="B30" s="55"/>
      <c r="C30" s="55"/>
      <c r="D30" s="5">
        <f t="shared" si="0"/>
        <v>0</v>
      </c>
      <c r="E30" s="113">
        <v>80</v>
      </c>
      <c r="F30" s="116">
        <v>209</v>
      </c>
      <c r="G30" s="116">
        <v>181</v>
      </c>
      <c r="H30" s="114">
        <v>331.7</v>
      </c>
      <c r="I30" s="115">
        <v>18.5</v>
      </c>
      <c r="J30" s="96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113">
        <v>85</v>
      </c>
      <c r="F31" s="116">
        <v>209</v>
      </c>
      <c r="G31" s="116">
        <v>188</v>
      </c>
      <c r="H31" s="114">
        <v>184.8</v>
      </c>
      <c r="I31" s="115">
        <v>13.9</v>
      </c>
      <c r="J31" s="96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113">
        <v>90</v>
      </c>
      <c r="F32" s="116">
        <v>207.2</v>
      </c>
      <c r="G32" s="116">
        <v>193</v>
      </c>
      <c r="H32" s="114">
        <v>117.5</v>
      </c>
      <c r="I32" s="115">
        <v>10.6</v>
      </c>
      <c r="J32" s="96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113">
        <v>95</v>
      </c>
      <c r="F33" s="114">
        <v>207.1</v>
      </c>
      <c r="G33" s="114">
        <v>196</v>
      </c>
      <c r="H33" s="114">
        <v>66.1</v>
      </c>
      <c r="I33" s="115">
        <v>8.6</v>
      </c>
      <c r="J33" s="96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62</v>
      </c>
      <c r="B34" s="109">
        <v>1.0346</v>
      </c>
      <c r="C34" s="109">
        <v>1.0352</v>
      </c>
      <c r="D34" s="5"/>
      <c r="E34" s="113">
        <v>100</v>
      </c>
      <c r="F34" s="114">
        <v>204.5</v>
      </c>
      <c r="G34" s="114">
        <v>199</v>
      </c>
      <c r="H34" s="114">
        <v>38.8</v>
      </c>
      <c r="I34" s="115">
        <v>6.6</v>
      </c>
      <c r="J34" s="96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63</v>
      </c>
      <c r="B35" s="55"/>
      <c r="C35" s="55"/>
      <c r="D35" s="84"/>
      <c r="E35" s="113">
        <v>105</v>
      </c>
      <c r="F35" s="114">
        <v>207.2</v>
      </c>
      <c r="G35" s="114">
        <v>200</v>
      </c>
      <c r="H35" s="114">
        <v>27.7</v>
      </c>
      <c r="I35" s="115">
        <v>0</v>
      </c>
      <c r="J35" s="96"/>
      <c r="L35" s="29"/>
      <c r="M35" s="1">
        <v>14</v>
      </c>
      <c r="N35" s="39"/>
      <c r="O35" s="39"/>
      <c r="P35" s="39"/>
      <c r="Q35" s="39"/>
    </row>
    <row r="36" spans="1:17" ht="13.5" thickBot="1">
      <c r="A36" s="103"/>
      <c r="B36" s="5" t="s">
        <v>64</v>
      </c>
      <c r="C36" s="5"/>
      <c r="D36" s="5">
        <f>+COUNT(FiltClean)*(AVERAGE(CleanControl)-AVERAGE(DirtyControl))</f>
        <v>-0.0011999999999998678</v>
      </c>
      <c r="E36" s="113">
        <v>110</v>
      </c>
      <c r="F36" s="114">
        <v>204.4</v>
      </c>
      <c r="G36" s="114">
        <v>201</v>
      </c>
      <c r="H36" s="114">
        <v>22.1</v>
      </c>
      <c r="I36" s="115">
        <v>0</v>
      </c>
      <c r="J36" s="96"/>
      <c r="L36" s="29"/>
      <c r="M36" s="1">
        <v>15</v>
      </c>
      <c r="N36" s="39"/>
      <c r="O36" s="39"/>
      <c r="P36" s="39"/>
      <c r="Q36" s="39"/>
    </row>
    <row r="37" spans="1:17" ht="13.5" thickBot="1">
      <c r="A37" s="103"/>
      <c r="B37" s="8" t="s">
        <v>65</v>
      </c>
      <c r="C37" s="7"/>
      <c r="D37" s="7">
        <f>SUM(D28:D33)+D36</f>
        <v>0.0403</v>
      </c>
      <c r="E37" s="113">
        <v>115</v>
      </c>
      <c r="F37" s="114">
        <v>203.2</v>
      </c>
      <c r="G37" s="114">
        <v>202</v>
      </c>
      <c r="H37" s="114">
        <v>16.2</v>
      </c>
      <c r="I37" s="115">
        <v>0</v>
      </c>
      <c r="J37" s="96"/>
      <c r="L37" s="29"/>
      <c r="M37" s="1">
        <v>16</v>
      </c>
      <c r="N37" s="39"/>
      <c r="O37" s="39"/>
      <c r="P37" s="39"/>
      <c r="Q37" s="39"/>
    </row>
    <row r="38" spans="1:17" ht="12.75">
      <c r="A38" s="101"/>
      <c r="B38"/>
      <c r="C38"/>
      <c r="D38"/>
      <c r="E38" s="113">
        <v>120</v>
      </c>
      <c r="F38" s="114">
        <v>202.4</v>
      </c>
      <c r="G38" s="114">
        <v>203</v>
      </c>
      <c r="H38" s="114">
        <v>11.5</v>
      </c>
      <c r="I38" s="115">
        <v>0</v>
      </c>
      <c r="J38" s="96"/>
      <c r="L38" s="29"/>
      <c r="M38" s="1">
        <v>17</v>
      </c>
      <c r="N38" s="39"/>
      <c r="O38" s="39"/>
      <c r="P38" s="39"/>
      <c r="Q38" s="39"/>
    </row>
    <row r="39" spans="1:17" ht="12.75">
      <c r="A39" s="101"/>
      <c r="B39" s="2" t="s">
        <v>66</v>
      </c>
      <c r="C39" s="2"/>
      <c r="D39" s="55"/>
      <c r="E39" s="113">
        <v>125</v>
      </c>
      <c r="F39" s="114">
        <v>198.9</v>
      </c>
      <c r="G39" s="114">
        <v>203</v>
      </c>
      <c r="H39" s="114">
        <v>8.5</v>
      </c>
      <c r="I39" s="115">
        <v>0</v>
      </c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67</v>
      </c>
      <c r="C40" s="2"/>
      <c r="D40" s="5"/>
      <c r="E40" s="113">
        <v>130</v>
      </c>
      <c r="F40" s="116">
        <v>199.2</v>
      </c>
      <c r="G40" s="116">
        <v>204</v>
      </c>
      <c r="H40" s="114">
        <v>5.9</v>
      </c>
      <c r="I40" s="115">
        <v>0</v>
      </c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113">
        <v>135</v>
      </c>
      <c r="F41" s="116">
        <v>195.8</v>
      </c>
      <c r="G41" s="116">
        <v>204</v>
      </c>
      <c r="H41" s="114">
        <v>4.1</v>
      </c>
      <c r="I41" s="115">
        <v>0</v>
      </c>
      <c r="J41" s="85"/>
      <c r="L41" s="29"/>
      <c r="M41" s="29"/>
      <c r="N41" s="29"/>
      <c r="O41" s="29"/>
      <c r="P41" s="29"/>
      <c r="Q41" s="29"/>
    </row>
    <row r="42" spans="1:17" ht="12.75">
      <c r="A42" s="101"/>
      <c r="B42" s="2" t="s">
        <v>67</v>
      </c>
      <c r="C42" s="2"/>
      <c r="D42" s="5"/>
      <c r="E42" s="113">
        <v>140</v>
      </c>
      <c r="F42" s="116">
        <v>195.4</v>
      </c>
      <c r="G42" s="116">
        <v>204</v>
      </c>
      <c r="H42" s="114">
        <v>2.6</v>
      </c>
      <c r="I42" s="115">
        <v>0</v>
      </c>
      <c r="J42" s="85"/>
      <c r="L42" s="29"/>
      <c r="M42" s="29"/>
      <c r="N42" s="29"/>
      <c r="O42" s="29"/>
      <c r="P42" s="29"/>
      <c r="Q42" s="29"/>
    </row>
    <row r="43" spans="1:17" ht="12.75">
      <c r="A43" s="101"/>
      <c r="B43"/>
      <c r="C43"/>
      <c r="D43"/>
      <c r="E43" s="98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8">
        <v>150</v>
      </c>
      <c r="F44" s="37"/>
      <c r="G44" s="37"/>
      <c r="H44" s="40"/>
      <c r="I44" s="41"/>
      <c r="J44" s="85"/>
      <c r="L44"/>
    </row>
    <row r="45" spans="1:12" ht="12.75">
      <c r="A45" s="29"/>
      <c r="B45"/>
      <c r="C45"/>
      <c r="D45"/>
      <c r="E45" s="98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8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9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2"/>
  <headerFooter alignWithMargins="0">
    <oddHeader>&amp;C&amp;F&amp;R&amp;D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T23" sqref="T2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8"/>
      <c r="K1" s="2"/>
      <c r="L1" s="126" t="s">
        <v>1</v>
      </c>
      <c r="M1" s="127"/>
      <c r="N1" s="127"/>
      <c r="O1" s="127"/>
      <c r="P1" s="127"/>
      <c r="Q1" s="128"/>
    </row>
    <row r="2" spans="1:21" ht="15.75" outlineLevel="1">
      <c r="A2" s="1" t="s">
        <v>69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0" t="s">
        <v>169</v>
      </c>
      <c r="D3" s="29"/>
      <c r="E3" s="23" t="s">
        <v>71</v>
      </c>
      <c r="F3" s="82" t="str">
        <f>Q8</f>
        <v>AK-F-a</v>
      </c>
      <c r="G3" s="13"/>
      <c r="H3" s="13" t="s">
        <v>5</v>
      </c>
      <c r="I3" s="25"/>
      <c r="J3" s="104" t="s">
        <v>167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6.8</v>
      </c>
      <c r="D4" s="29"/>
      <c r="E4" s="2" t="s">
        <v>8</v>
      </c>
      <c r="F4" s="2"/>
      <c r="G4" s="6">
        <f>TimeSinceLast</f>
        <v>0</v>
      </c>
      <c r="H4" s="19" t="s">
        <v>9</v>
      </c>
      <c r="I4" s="2"/>
      <c r="J4" s="6"/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8.338000000000001</v>
      </c>
      <c r="D5" s="29"/>
      <c r="E5" s="2" t="s">
        <v>12</v>
      </c>
      <c r="F5" s="20"/>
      <c r="G5" s="18">
        <f>(StartTime)</f>
        <v>0</v>
      </c>
      <c r="H5" s="19"/>
      <c r="I5" s="21"/>
      <c r="J5" s="21"/>
      <c r="K5"/>
      <c r="L5" s="29"/>
      <c r="M5" s="29"/>
      <c r="N5" s="92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0.319</v>
      </c>
      <c r="D6" s="29"/>
      <c r="E6" s="23" t="s">
        <v>16</v>
      </c>
      <c r="F6" s="13"/>
      <c r="G6" s="13"/>
      <c r="H6" s="13"/>
      <c r="I6" s="13"/>
      <c r="J6" s="24"/>
      <c r="K6"/>
      <c r="L6" s="123" t="s">
        <v>14</v>
      </c>
      <c r="M6" s="124"/>
      <c r="N6" s="124"/>
      <c r="O6" s="124"/>
      <c r="P6" s="124"/>
      <c r="Q6" s="125"/>
    </row>
    <row r="7" spans="1:17" ht="12.75" outlineLevel="1">
      <c r="A7" s="65" t="s">
        <v>17</v>
      </c>
      <c r="B7" s="65"/>
      <c r="C7" s="33">
        <f>COUNT(PcWt)</f>
        <v>1</v>
      </c>
      <c r="D7" s="29"/>
      <c r="E7" s="2" t="s">
        <v>18</v>
      </c>
      <c r="F7" s="2"/>
      <c r="G7" s="6"/>
      <c r="H7" s="30" t="str">
        <f>O14</f>
        <v>vertical crib</v>
      </c>
      <c r="I7" s="30"/>
      <c r="J7" s="30"/>
      <c r="K7"/>
      <c r="L7" t="s">
        <v>4</v>
      </c>
      <c r="M7"/>
      <c r="N7" s="55" t="s">
        <v>73</v>
      </c>
      <c r="O7" s="45" t="s">
        <v>5</v>
      </c>
      <c r="P7" s="45"/>
      <c r="Q7" s="81"/>
    </row>
    <row r="8" spans="1:17" ht="12.75" outlineLevel="1">
      <c r="A8" s="65" t="s">
        <v>19</v>
      </c>
      <c r="B8" s="65"/>
      <c r="C8" s="76" t="e">
        <f>(AVERAGE(Length)+SUM(Circumf))/(WtFuel-WtKindl)</f>
        <v>#DIV/0!</v>
      </c>
      <c r="D8" s="29"/>
      <c r="E8" s="2" t="s">
        <v>20</v>
      </c>
      <c r="F8" s="4"/>
      <c r="G8" s="22"/>
      <c r="H8" s="30" t="str">
        <f>O15</f>
        <v>2x2  3 wide 4 deep</v>
      </c>
      <c r="I8" s="30"/>
      <c r="J8" s="30"/>
      <c r="K8"/>
      <c r="L8" t="s">
        <v>8</v>
      </c>
      <c r="M8"/>
      <c r="N8" s="36"/>
      <c r="O8" s="45" t="s">
        <v>70</v>
      </c>
      <c r="P8" s="45"/>
      <c r="Q8" s="55" t="s">
        <v>73</v>
      </c>
    </row>
    <row r="9" spans="1:17" ht="12.75" outlineLevel="1">
      <c r="A9" s="65" t="s">
        <v>21</v>
      </c>
      <c r="B9" s="65"/>
      <c r="C9" s="35">
        <f>(COUNT(StackTemp)-1)/12</f>
        <v>0.8333333333333334</v>
      </c>
      <c r="D9" s="29"/>
      <c r="E9" s="2" t="s">
        <v>22</v>
      </c>
      <c r="F9" s="2"/>
      <c r="G9" s="6">
        <f>UnFuel</f>
        <v>0</v>
      </c>
      <c r="H9" s="30">
        <f>O17</f>
        <v>0</v>
      </c>
      <c r="I9" s="30"/>
      <c r="J9" s="30"/>
      <c r="K9"/>
      <c r="L9" t="s">
        <v>12</v>
      </c>
      <c r="M9"/>
      <c r="N9" s="80"/>
      <c r="O9" s="45" t="s">
        <v>9</v>
      </c>
      <c r="P9" s="45"/>
      <c r="Q9" s="36"/>
    </row>
    <row r="10" spans="1:17" ht="12.75" outlineLevel="1">
      <c r="A10" s="65" t="s">
        <v>23</v>
      </c>
      <c r="B10" s="65"/>
      <c r="C10" s="32">
        <f>AVERAGE(StackTemp)</f>
        <v>210.95454545454547</v>
      </c>
      <c r="D10" s="29"/>
      <c r="E10" s="101"/>
      <c r="F10" s="101"/>
      <c r="G10" s="101"/>
      <c r="H10" s="101"/>
      <c r="I10" s="102"/>
      <c r="J10" s="102"/>
      <c r="K10"/>
      <c r="N10" s="38"/>
      <c r="O10" s="45" t="s">
        <v>13</v>
      </c>
      <c r="P10" s="55"/>
      <c r="Q10" s="55"/>
    </row>
    <row r="11" spans="1:17" ht="12.75" outlineLevel="1">
      <c r="A11" s="65" t="s">
        <v>24</v>
      </c>
      <c r="B11" s="65"/>
      <c r="C11" s="76">
        <f>AVERAGE(Ocalc)/10-2.5</f>
        <v>10.16</v>
      </c>
      <c r="D11" s="29"/>
      <c r="E11" s="83"/>
      <c r="F11" s="83"/>
      <c r="G11" s="83"/>
      <c r="H11" s="102"/>
      <c r="I11" s="102"/>
      <c r="J11" s="102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AVERAGE(CO)/1000</f>
        <v>0.19013636363636363</v>
      </c>
      <c r="D12" s="29"/>
      <c r="E12" s="23" t="s">
        <v>26</v>
      </c>
      <c r="F12" s="13"/>
      <c r="G12" s="13"/>
      <c r="H12" s="23"/>
      <c r="I12" s="13"/>
      <c r="J12" s="24"/>
      <c r="K12"/>
      <c r="L12" s="123" t="s">
        <v>16</v>
      </c>
      <c r="M12" s="124"/>
      <c r="N12" s="124"/>
      <c r="O12" s="124"/>
      <c r="P12" s="124"/>
      <c r="Q12" s="125"/>
    </row>
    <row r="13" spans="1:17" ht="12.75">
      <c r="A13" s="65" t="s">
        <v>28</v>
      </c>
      <c r="B13" s="65"/>
      <c r="C13" s="77">
        <f>SQRT(528/(460+AvStackTemp))</f>
        <v>0.8870955722460175</v>
      </c>
      <c r="D13" s="83"/>
      <c r="E13" s="91" t="s">
        <v>29</v>
      </c>
      <c r="F13" s="93" t="s">
        <v>30</v>
      </c>
      <c r="G13" s="93" t="s">
        <v>31</v>
      </c>
      <c r="H13" s="93" t="s">
        <v>32</v>
      </c>
      <c r="I13" s="93" t="s">
        <v>33</v>
      </c>
      <c r="J13" s="93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1.9459962756052143</v>
      </c>
      <c r="D14" s="29"/>
      <c r="E14" s="97">
        <v>0</v>
      </c>
      <c r="F14" s="94">
        <v>132.5</v>
      </c>
      <c r="G14" s="94">
        <v>209</v>
      </c>
      <c r="H14" s="105">
        <v>0</v>
      </c>
      <c r="I14" s="105">
        <v>0</v>
      </c>
      <c r="J14" s="95"/>
      <c r="L14" s="1" t="s">
        <v>34</v>
      </c>
      <c r="N14" s="64" t="s">
        <v>168</v>
      </c>
      <c r="O14" s="54" t="s">
        <v>164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4.238736</v>
      </c>
      <c r="D15" s="29"/>
      <c r="E15" s="98">
        <v>5</v>
      </c>
      <c r="F15" s="94">
        <v>171.7</v>
      </c>
      <c r="G15" s="37">
        <v>140</v>
      </c>
      <c r="H15" s="37">
        <v>278</v>
      </c>
      <c r="I15" s="41">
        <v>45.6</v>
      </c>
      <c r="J15" s="96"/>
      <c r="L15" s="29"/>
      <c r="M15" s="29"/>
      <c r="N15" s="29"/>
      <c r="O15" s="57" t="s">
        <v>165</v>
      </c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11.363829090909093</v>
      </c>
      <c r="D16" s="29"/>
      <c r="E16" s="98">
        <v>10</v>
      </c>
      <c r="F16" s="94">
        <v>199.9</v>
      </c>
      <c r="G16" s="37">
        <v>88</v>
      </c>
      <c r="H16" s="37">
        <v>589.6</v>
      </c>
      <c r="I16" s="41">
        <v>79.9</v>
      </c>
      <c r="J16" s="96"/>
      <c r="L16" s="2" t="s">
        <v>37</v>
      </c>
      <c r="M16" s="2"/>
      <c r="N16" s="56">
        <f>0.145*2.2</f>
        <v>0.319</v>
      </c>
      <c r="O16" s="57" t="s">
        <v>166</v>
      </c>
      <c r="P16" s="54"/>
      <c r="Q16" s="58"/>
    </row>
    <row r="17" spans="1:17" ht="12.75">
      <c r="A17" s="65" t="s">
        <v>40</v>
      </c>
      <c r="B17" s="65"/>
      <c r="C17" s="76">
        <f>gmKgCO*9.75/86</f>
        <v>2.487528391743537</v>
      </c>
      <c r="D17" s="29"/>
      <c r="E17" s="98">
        <v>15</v>
      </c>
      <c r="F17" s="94">
        <v>228.3</v>
      </c>
      <c r="G17" s="37">
        <v>63</v>
      </c>
      <c r="H17" s="37">
        <v>393</v>
      </c>
      <c r="I17" s="41">
        <v>96.4</v>
      </c>
      <c r="J17" s="96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6">
        <f>gmKgCondar*33/86</f>
        <v>0.254103071066679</v>
      </c>
      <c r="D18" s="29"/>
      <c r="E18" s="98">
        <v>20</v>
      </c>
      <c r="F18" s="94">
        <v>245.2</v>
      </c>
      <c r="G18" s="37">
        <v>59</v>
      </c>
      <c r="H18" s="37">
        <v>125.6</v>
      </c>
      <c r="I18" s="41">
        <v>99</v>
      </c>
      <c r="J18" s="96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4.784250357282059</v>
      </c>
      <c r="D19" s="29"/>
      <c r="E19" s="98">
        <v>25</v>
      </c>
      <c r="F19" s="94">
        <v>249.1</v>
      </c>
      <c r="G19" s="37">
        <v>122</v>
      </c>
      <c r="H19" s="37">
        <v>38.7</v>
      </c>
      <c r="I19" s="41">
        <v>57.4</v>
      </c>
      <c r="J19" s="96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v>0.0619</v>
      </c>
      <c r="D20" s="29"/>
      <c r="E20" s="98">
        <v>30</v>
      </c>
      <c r="F20" s="94">
        <v>247</v>
      </c>
      <c r="G20" s="37">
        <v>107</v>
      </c>
      <c r="H20" s="37">
        <v>18.4</v>
      </c>
      <c r="I20" s="41">
        <v>67.3</v>
      </c>
      <c r="J20" s="96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68">
        <f>(Catch/RunLength)*3.04*(DilutionFactor)/(0.4*StackTempFactor)</f>
        <v>0.6622080033858907</v>
      </c>
      <c r="D21" s="29"/>
      <c r="E21" s="98">
        <v>35</v>
      </c>
      <c r="F21" s="94">
        <v>232.4</v>
      </c>
      <c r="G21" s="37">
        <v>139</v>
      </c>
      <c r="H21" s="37">
        <v>50.2</v>
      </c>
      <c r="I21" s="41">
        <v>46.2</v>
      </c>
      <c r="J21" s="96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7" ht="12.75">
      <c r="A22" s="69" t="s">
        <v>51</v>
      </c>
      <c r="B22" s="70"/>
      <c r="C22" s="71">
        <f>59.3*AvCO*DilutionFactor</f>
        <v>21.941276070763504</v>
      </c>
      <c r="D22" s="29"/>
      <c r="E22" s="98">
        <v>40</v>
      </c>
      <c r="F22" s="94">
        <v>228.4</v>
      </c>
      <c r="G22" s="37">
        <v>168</v>
      </c>
      <c r="H22" s="37">
        <v>199.3</v>
      </c>
      <c r="I22" s="41">
        <v>27.1</v>
      </c>
      <c r="J22" s="96"/>
      <c r="L22" s="29"/>
      <c r="M22" s="1">
        <v>1</v>
      </c>
      <c r="N22" s="39">
        <f>3.645*2.2</f>
        <v>8.019</v>
      </c>
      <c r="O22" s="39">
        <v>6.8</v>
      </c>
      <c r="P22" s="39"/>
      <c r="Q22" s="39"/>
    </row>
    <row r="23" spans="1:17" ht="12.75">
      <c r="A23" s="69" t="s">
        <v>52</v>
      </c>
      <c r="B23" s="72"/>
      <c r="C23" s="71">
        <f>100-COLoss-HCLoss</f>
        <v>97.25836853718978</v>
      </c>
      <c r="D23" s="29"/>
      <c r="E23" s="98">
        <v>45</v>
      </c>
      <c r="F23" s="94">
        <v>184.9</v>
      </c>
      <c r="G23" s="37">
        <v>178</v>
      </c>
      <c r="H23" s="37">
        <v>255.5</v>
      </c>
      <c r="I23" s="41">
        <v>20.5</v>
      </c>
      <c r="J23" s="96"/>
      <c r="L23" s="29"/>
      <c r="M23" s="1">
        <v>2</v>
      </c>
      <c r="N23" s="39"/>
      <c r="O23" s="39"/>
      <c r="P23" s="39"/>
      <c r="Q23" s="39"/>
    </row>
    <row r="24" spans="1:17" ht="12.75">
      <c r="A24" s="69" t="s">
        <v>53</v>
      </c>
      <c r="B24" s="70"/>
      <c r="C24" s="71">
        <f>100-DryGasLoss-BoilWaterLoss</f>
        <v>83.85192055180885</v>
      </c>
      <c r="D24" s="29"/>
      <c r="E24" s="98">
        <v>50</v>
      </c>
      <c r="F24" s="94">
        <v>201.1</v>
      </c>
      <c r="G24" s="37">
        <v>202</v>
      </c>
      <c r="H24" s="37">
        <v>143.2</v>
      </c>
      <c r="I24" s="41">
        <v>0</v>
      </c>
      <c r="J24" s="96"/>
      <c r="L24" s="29"/>
      <c r="M24" s="1">
        <v>3</v>
      </c>
      <c r="N24" s="39"/>
      <c r="O24" s="39"/>
      <c r="P24" s="39"/>
      <c r="Q24" s="39"/>
    </row>
    <row r="25" spans="1:17" ht="12.75">
      <c r="A25" s="73" t="s">
        <v>54</v>
      </c>
      <c r="B25" s="74"/>
      <c r="C25" s="75">
        <f>HTransEffic*CombustEffic/100</f>
        <v>81.55300991578983</v>
      </c>
      <c r="D25" s="29"/>
      <c r="E25" s="98">
        <v>55</v>
      </c>
      <c r="F25" s="94"/>
      <c r="G25" s="37"/>
      <c r="H25" s="37"/>
      <c r="I25" s="41"/>
      <c r="J25" s="96"/>
      <c r="L25" s="29"/>
      <c r="M25" s="1">
        <v>4</v>
      </c>
      <c r="N25" s="39"/>
      <c r="O25" s="39"/>
      <c r="P25" s="39"/>
      <c r="Q25" s="39"/>
    </row>
    <row r="26" spans="1:17" ht="12.75">
      <c r="A26" s="9" t="s">
        <v>55</v>
      </c>
      <c r="B26" s="10" t="s">
        <v>56</v>
      </c>
      <c r="C26" s="10" t="s">
        <v>57</v>
      </c>
      <c r="D26" s="10" t="s">
        <v>58</v>
      </c>
      <c r="E26" s="98">
        <v>60</v>
      </c>
      <c r="F26" s="94"/>
      <c r="G26" s="37"/>
      <c r="H26" s="37"/>
      <c r="I26" s="41"/>
      <c r="J26" s="96"/>
      <c r="L26" s="29"/>
      <c r="M26" s="1">
        <v>5</v>
      </c>
      <c r="N26" s="39"/>
      <c r="O26" s="39"/>
      <c r="P26" s="39"/>
      <c r="Q26" s="39"/>
    </row>
    <row r="27" spans="1:17" ht="12.75">
      <c r="A27" s="11" t="s">
        <v>59</v>
      </c>
      <c r="B27" s="12" t="s">
        <v>60</v>
      </c>
      <c r="C27" s="12" t="s">
        <v>60</v>
      </c>
      <c r="D27" s="12" t="s">
        <v>61</v>
      </c>
      <c r="E27" s="98">
        <v>65</v>
      </c>
      <c r="F27" s="94"/>
      <c r="G27" s="37"/>
      <c r="H27" s="37"/>
      <c r="I27" s="41"/>
      <c r="J27" s="96"/>
      <c r="L27" s="29"/>
      <c r="M27" s="1">
        <v>6</v>
      </c>
      <c r="N27" s="39"/>
      <c r="O27" s="39"/>
      <c r="P27" s="39"/>
      <c r="Q27" s="39"/>
    </row>
    <row r="28" spans="1:17" ht="12.75">
      <c r="A28" s="14">
        <v>1</v>
      </c>
      <c r="B28" s="108">
        <v>1.0352</v>
      </c>
      <c r="C28" s="108">
        <v>1.0368</v>
      </c>
      <c r="D28" s="5">
        <f aca="true" t="shared" si="0" ref="D28:D33">IF(FiltDirty-FiltClean&gt;0,FiltDirty-FiltClean,0)</f>
        <v>0.0016000000000000458</v>
      </c>
      <c r="E28" s="98">
        <v>70</v>
      </c>
      <c r="F28" s="94"/>
      <c r="G28" s="37"/>
      <c r="H28" s="37"/>
      <c r="I28" s="41"/>
      <c r="J28" s="96"/>
      <c r="L28" s="29"/>
      <c r="M28" s="1">
        <v>7</v>
      </c>
      <c r="N28" s="39"/>
      <c r="O28" s="39"/>
      <c r="P28" s="39"/>
      <c r="Q28" s="39"/>
    </row>
    <row r="29" spans="1:17" ht="12.75">
      <c r="A29" s="14">
        <v>2</v>
      </c>
      <c r="B29" s="108">
        <v>1.0369</v>
      </c>
      <c r="C29" s="108">
        <v>1.0692</v>
      </c>
      <c r="D29" s="5">
        <f t="shared" si="0"/>
        <v>0.032299999999999995</v>
      </c>
      <c r="E29" s="98">
        <v>75</v>
      </c>
      <c r="F29" s="94"/>
      <c r="G29" s="37"/>
      <c r="H29" s="37"/>
      <c r="I29" s="41"/>
      <c r="J29" s="96"/>
      <c r="L29" s="29"/>
      <c r="M29" s="1">
        <v>8</v>
      </c>
      <c r="N29" s="39"/>
      <c r="O29" s="39"/>
      <c r="P29" s="39"/>
      <c r="Q29" s="39"/>
    </row>
    <row r="30" spans="1:17" ht="12.75">
      <c r="A30" s="14">
        <v>3</v>
      </c>
      <c r="B30" s="55"/>
      <c r="C30" s="55"/>
      <c r="D30" s="5">
        <f t="shared" si="0"/>
        <v>0</v>
      </c>
      <c r="E30" s="98">
        <v>80</v>
      </c>
      <c r="F30" s="94"/>
      <c r="G30" s="37"/>
      <c r="H30" s="37"/>
      <c r="I30" s="41"/>
      <c r="J30" s="96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98">
        <v>85</v>
      </c>
      <c r="F31" s="94"/>
      <c r="G31" s="37"/>
      <c r="H31" s="37"/>
      <c r="I31" s="41"/>
      <c r="J31" s="96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98">
        <v>90</v>
      </c>
      <c r="F32" s="94"/>
      <c r="G32" s="37"/>
      <c r="H32" s="37"/>
      <c r="I32" s="41"/>
      <c r="J32" s="96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98">
        <v>95</v>
      </c>
      <c r="F33" s="94"/>
      <c r="G33" s="37"/>
      <c r="H33" s="37"/>
      <c r="I33" s="41"/>
      <c r="J33" s="96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62</v>
      </c>
      <c r="B34" s="109">
        <v>1.0344</v>
      </c>
      <c r="C34" s="109">
        <v>1.0348</v>
      </c>
      <c r="D34" s="5"/>
      <c r="E34" s="98">
        <v>100</v>
      </c>
      <c r="F34" s="94"/>
      <c r="G34" s="37"/>
      <c r="H34" s="37"/>
      <c r="I34" s="41"/>
      <c r="J34" s="96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63</v>
      </c>
      <c r="B35" s="55"/>
      <c r="C35" s="55"/>
      <c r="D35" s="84"/>
      <c r="E35" s="98">
        <v>105</v>
      </c>
      <c r="F35" s="94"/>
      <c r="G35" s="37"/>
      <c r="H35" s="37"/>
      <c r="I35" s="41"/>
      <c r="J35" s="96"/>
      <c r="L35" s="29"/>
      <c r="M35" s="1">
        <v>14</v>
      </c>
      <c r="N35" s="39"/>
      <c r="O35" s="39"/>
      <c r="P35" s="39"/>
      <c r="Q35" s="39"/>
    </row>
    <row r="36" spans="1:17" ht="13.5" thickBot="1">
      <c r="A36" s="103"/>
      <c r="B36" s="5" t="s">
        <v>64</v>
      </c>
      <c r="C36" s="5"/>
      <c r="D36" s="5">
        <f>+COUNT(FiltClean)*(AVERAGE(CleanControl)-AVERAGE(DirtyControl))</f>
        <v>-0.0007999999999999119</v>
      </c>
      <c r="E36" s="98">
        <v>110</v>
      </c>
      <c r="F36" s="94"/>
      <c r="G36" s="37"/>
      <c r="H36" s="37"/>
      <c r="I36" s="41"/>
      <c r="J36" s="96"/>
      <c r="L36" s="29"/>
      <c r="M36" s="1">
        <v>15</v>
      </c>
      <c r="N36" s="39"/>
      <c r="O36" s="39"/>
      <c r="P36" s="39"/>
      <c r="Q36" s="39"/>
    </row>
    <row r="37" spans="1:17" ht="13.5" thickBot="1">
      <c r="A37" s="103"/>
      <c r="B37" s="8" t="s">
        <v>65</v>
      </c>
      <c r="C37" s="7"/>
      <c r="D37" s="7">
        <f>SUM(D28:D33)+D36</f>
        <v>0.03310000000000013</v>
      </c>
      <c r="E37" s="98">
        <v>115</v>
      </c>
      <c r="F37" s="94"/>
      <c r="G37" s="37"/>
      <c r="H37" s="37"/>
      <c r="I37" s="41"/>
      <c r="J37" s="96"/>
      <c r="L37" s="29"/>
      <c r="M37" s="1">
        <v>16</v>
      </c>
      <c r="N37" s="39"/>
      <c r="O37" s="39"/>
      <c r="P37" s="39"/>
      <c r="Q37" s="39"/>
    </row>
    <row r="38" spans="1:17" ht="12.75">
      <c r="A38" s="101"/>
      <c r="B38"/>
      <c r="C38"/>
      <c r="D38"/>
      <c r="E38" s="98">
        <v>120</v>
      </c>
      <c r="F38" s="94"/>
      <c r="G38" s="37"/>
      <c r="H38" s="37"/>
      <c r="I38" s="41"/>
      <c r="J38" s="96"/>
      <c r="L38" s="29"/>
      <c r="M38" s="1">
        <v>17</v>
      </c>
      <c r="N38" s="39"/>
      <c r="O38" s="39"/>
      <c r="P38" s="39"/>
      <c r="Q38" s="39"/>
    </row>
    <row r="39" spans="1:17" ht="12.75">
      <c r="A39" s="101"/>
      <c r="B39" s="2" t="s">
        <v>66</v>
      </c>
      <c r="C39" s="2"/>
      <c r="D39" s="55"/>
      <c r="E39" s="98">
        <v>125</v>
      </c>
      <c r="F39" s="37"/>
      <c r="G39" s="37"/>
      <c r="H39" s="40"/>
      <c r="I39" s="41"/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67</v>
      </c>
      <c r="C40" s="2"/>
      <c r="D40" s="5"/>
      <c r="E40" s="98">
        <v>130</v>
      </c>
      <c r="F40" s="37"/>
      <c r="G40" s="37"/>
      <c r="H40" s="40"/>
      <c r="I40" s="41"/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98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</row>
    <row r="42" spans="1:17" ht="12.75">
      <c r="A42" s="101"/>
      <c r="B42" s="2" t="s">
        <v>67</v>
      </c>
      <c r="C42" s="2"/>
      <c r="D42" s="5"/>
      <c r="E42" s="98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</row>
    <row r="43" spans="1:17" ht="12.75">
      <c r="A43" s="101"/>
      <c r="B43"/>
      <c r="C43"/>
      <c r="D43"/>
      <c r="E43" s="98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8">
        <v>150</v>
      </c>
      <c r="F44" s="37"/>
      <c r="G44" s="37"/>
      <c r="H44" s="40"/>
      <c r="I44" s="41"/>
      <c r="J44" s="85"/>
      <c r="L44"/>
    </row>
    <row r="45" spans="1:12" ht="12.75">
      <c r="A45" s="29"/>
      <c r="B45"/>
      <c r="C45"/>
      <c r="D45"/>
      <c r="E45" s="98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8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9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O14" sqref="O14:O16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8"/>
      <c r="K1" s="2"/>
      <c r="L1" s="126" t="s">
        <v>1</v>
      </c>
      <c r="M1" s="127"/>
      <c r="N1" s="127"/>
      <c r="O1" s="127"/>
      <c r="P1" s="127"/>
      <c r="Q1" s="128"/>
    </row>
    <row r="2" spans="1:21" ht="15.75" outlineLevel="1">
      <c r="A2" s="1" t="s">
        <v>69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9.5" outlineLevel="1">
      <c r="A3" s="28" t="s">
        <v>4</v>
      </c>
      <c r="B3" s="26"/>
      <c r="C3" s="100" t="s">
        <v>72</v>
      </c>
      <c r="D3" s="29"/>
      <c r="E3" s="23" t="s">
        <v>71</v>
      </c>
      <c r="F3" s="82" t="str">
        <f>Q8</f>
        <v>AK-F-a</v>
      </c>
      <c r="G3" s="13"/>
      <c r="H3" s="13" t="s">
        <v>5</v>
      </c>
      <c r="I3" s="25"/>
      <c r="J3" s="104" t="s">
        <v>161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5.9</v>
      </c>
      <c r="D4" s="29"/>
      <c r="E4" s="2" t="s">
        <v>8</v>
      </c>
      <c r="F4" s="2"/>
      <c r="G4" s="6" t="str">
        <f>TimeSinceLast</f>
        <v>cold</v>
      </c>
      <c r="H4" s="19" t="s">
        <v>9</v>
      </c>
      <c r="I4" s="2"/>
      <c r="J4" s="6">
        <f>AmbientTemperature</f>
        <v>64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8.437000000000001</v>
      </c>
      <c r="D5" s="29"/>
      <c r="E5" s="2" t="s">
        <v>12</v>
      </c>
      <c r="F5" s="20"/>
      <c r="G5" s="18">
        <f>(StartTime)</f>
        <v>0</v>
      </c>
      <c r="H5" s="19"/>
      <c r="I5" s="21"/>
      <c r="J5" s="21"/>
      <c r="K5"/>
      <c r="L5" s="29"/>
      <c r="M5" s="29"/>
      <c r="N5" s="92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0.48400000000000004</v>
      </c>
      <c r="D6" s="29"/>
      <c r="E6" s="23" t="s">
        <v>16</v>
      </c>
      <c r="F6" s="13"/>
      <c r="G6" s="13"/>
      <c r="H6" s="13"/>
      <c r="I6" s="13"/>
      <c r="J6" s="24"/>
      <c r="K6"/>
      <c r="L6" s="123" t="s">
        <v>14</v>
      </c>
      <c r="M6" s="124"/>
      <c r="N6" s="124"/>
      <c r="O6" s="124"/>
      <c r="P6" s="124"/>
      <c r="Q6" s="125"/>
    </row>
    <row r="7" spans="1:17" ht="12.75" outlineLevel="1">
      <c r="A7" s="65" t="s">
        <v>17</v>
      </c>
      <c r="B7" s="65"/>
      <c r="C7" s="33">
        <f>COUNT(PcWt)</f>
        <v>1</v>
      </c>
      <c r="D7" s="29"/>
      <c r="E7" s="2" t="s">
        <v>18</v>
      </c>
      <c r="F7" s="2"/>
      <c r="G7" s="6"/>
      <c r="H7" s="30" t="s">
        <v>162</v>
      </c>
      <c r="I7" s="30"/>
      <c r="J7" s="30"/>
      <c r="K7"/>
      <c r="L7" t="s">
        <v>4</v>
      </c>
      <c r="M7"/>
      <c r="N7" s="55" t="s">
        <v>73</v>
      </c>
      <c r="O7" s="45" t="s">
        <v>5</v>
      </c>
      <c r="P7" s="45"/>
      <c r="Q7" s="81"/>
    </row>
    <row r="8" spans="1:17" ht="12.75" outlineLevel="1">
      <c r="A8" s="65" t="s">
        <v>19</v>
      </c>
      <c r="B8" s="65"/>
      <c r="C8" s="76" t="e">
        <f>(AVERAGE(Length)+SUM(Circumf))/(WtFuel-WtKindl)</f>
        <v>#DIV/0!</v>
      </c>
      <c r="D8" s="29"/>
      <c r="E8" s="2" t="s">
        <v>20</v>
      </c>
      <c r="F8" s="4"/>
      <c r="G8" s="22"/>
      <c r="H8" s="30" t="str">
        <f>O15</f>
        <v>2x2  3 wide 4 deep</v>
      </c>
      <c r="I8" s="30"/>
      <c r="J8" s="30"/>
      <c r="K8"/>
      <c r="L8" t="s">
        <v>8</v>
      </c>
      <c r="M8"/>
      <c r="N8" s="36" t="s">
        <v>74</v>
      </c>
      <c r="O8" s="45" t="s">
        <v>70</v>
      </c>
      <c r="P8" s="45"/>
      <c r="Q8" s="55" t="s">
        <v>73</v>
      </c>
    </row>
    <row r="9" spans="1:17" ht="12.75" outlineLevel="1">
      <c r="A9" s="65" t="s">
        <v>21</v>
      </c>
      <c r="B9" s="65"/>
      <c r="C9" s="35">
        <f>(COUNT(StackTemp)-1)/12</f>
        <v>2.6666666666666665</v>
      </c>
      <c r="D9" s="29"/>
      <c r="E9" s="2" t="s">
        <v>22</v>
      </c>
      <c r="F9" s="2"/>
      <c r="G9" s="6">
        <f>UnFuel</f>
        <v>0</v>
      </c>
      <c r="H9" s="30">
        <f>O17</f>
        <v>0</v>
      </c>
      <c r="I9" s="30"/>
      <c r="J9" s="30"/>
      <c r="K9"/>
      <c r="L9" t="s">
        <v>12</v>
      </c>
      <c r="M9"/>
      <c r="N9" s="80"/>
      <c r="O9" s="45" t="s">
        <v>9</v>
      </c>
      <c r="P9" s="45"/>
      <c r="Q9" s="36">
        <v>64</v>
      </c>
    </row>
    <row r="10" spans="1:17" ht="12.75" outlineLevel="1">
      <c r="A10" s="65" t="s">
        <v>23</v>
      </c>
      <c r="B10" s="65"/>
      <c r="C10" s="32">
        <f>AVERAGE(StackTemp)</f>
        <v>120.73636363636365</v>
      </c>
      <c r="D10" s="29"/>
      <c r="E10" s="101"/>
      <c r="F10" s="101"/>
      <c r="G10" s="101"/>
      <c r="H10" s="101"/>
      <c r="I10" s="102"/>
      <c r="J10" s="102"/>
      <c r="K10"/>
      <c r="N10" s="38"/>
      <c r="O10" s="45" t="s">
        <v>13</v>
      </c>
      <c r="P10" s="55"/>
      <c r="Q10" s="55"/>
    </row>
    <row r="11" spans="1:17" ht="12.75" outlineLevel="1">
      <c r="A11" s="65" t="s">
        <v>24</v>
      </c>
      <c r="B11" s="65"/>
      <c r="C11" s="76">
        <f>AVERAGE(Ocalc)/10-2.5</f>
        <v>12.141666666666666</v>
      </c>
      <c r="D11" s="29"/>
      <c r="E11" s="83"/>
      <c r="F11" s="83"/>
      <c r="G11" s="83"/>
      <c r="H11" s="102"/>
      <c r="I11" s="102"/>
      <c r="J11" s="102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AVERAGE(CO)/1000</f>
        <v>0.14764545454545455</v>
      </c>
      <c r="D12" s="29"/>
      <c r="E12" s="23" t="s">
        <v>26</v>
      </c>
      <c r="F12" s="13"/>
      <c r="G12" s="13"/>
      <c r="H12" s="23"/>
      <c r="I12" s="13"/>
      <c r="J12" s="24"/>
      <c r="K12"/>
      <c r="L12" s="123" t="s">
        <v>16</v>
      </c>
      <c r="M12" s="124"/>
      <c r="N12" s="124"/>
      <c r="O12" s="124"/>
      <c r="P12" s="124"/>
      <c r="Q12" s="125"/>
    </row>
    <row r="13" spans="1:17" ht="12.75">
      <c r="A13" s="65" t="s">
        <v>28</v>
      </c>
      <c r="B13" s="65"/>
      <c r="C13" s="77">
        <f>SQRT(528/(460+AvStackTemp))</f>
        <v>0.9535148274329726</v>
      </c>
      <c r="D13" s="83"/>
      <c r="E13" s="91" t="s">
        <v>29</v>
      </c>
      <c r="F13" s="93" t="s">
        <v>30</v>
      </c>
      <c r="G13" s="93" t="s">
        <v>31</v>
      </c>
      <c r="H13" s="93" t="s">
        <v>32</v>
      </c>
      <c r="I13" s="93" t="s">
        <v>33</v>
      </c>
      <c r="J13" s="93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2.3862987630827783</v>
      </c>
      <c r="D14" s="29"/>
      <c r="E14" s="113">
        <v>0</v>
      </c>
      <c r="F14" s="114">
        <v>93.3</v>
      </c>
      <c r="G14" s="114">
        <v>209</v>
      </c>
      <c r="H14" s="114">
        <v>3.9</v>
      </c>
      <c r="I14" s="115">
        <v>0</v>
      </c>
      <c r="J14" s="95"/>
      <c r="L14" s="1" t="s">
        <v>34</v>
      </c>
      <c r="N14" s="64" t="s">
        <v>163</v>
      </c>
      <c r="O14" s="54" t="s">
        <v>164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1.353275625</v>
      </c>
      <c r="D15" s="29"/>
      <c r="E15" s="113">
        <v>5</v>
      </c>
      <c r="F15" s="114">
        <v>147.2</v>
      </c>
      <c r="G15" s="114">
        <v>112</v>
      </c>
      <c r="H15" s="114">
        <v>571</v>
      </c>
      <c r="I15" s="115">
        <v>64</v>
      </c>
      <c r="J15" s="96"/>
      <c r="L15" s="29"/>
      <c r="M15" s="29"/>
      <c r="N15" s="29"/>
      <c r="O15" s="57" t="s">
        <v>165</v>
      </c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10.94521672727273</v>
      </c>
      <c r="D16" s="29"/>
      <c r="E16" s="113">
        <v>10</v>
      </c>
      <c r="F16" s="114">
        <v>185.4</v>
      </c>
      <c r="G16" s="114">
        <v>78</v>
      </c>
      <c r="H16" s="114">
        <v>667.5</v>
      </c>
      <c r="I16" s="115">
        <v>86.5</v>
      </c>
      <c r="J16" s="96"/>
      <c r="L16" s="2" t="s">
        <v>37</v>
      </c>
      <c r="M16" s="2"/>
      <c r="N16" s="56">
        <f>0.22*2.2</f>
        <v>0.48400000000000004</v>
      </c>
      <c r="O16" s="57" t="s">
        <v>166</v>
      </c>
      <c r="P16" s="54"/>
      <c r="Q16" s="58"/>
    </row>
    <row r="17" spans="1:17" ht="12.75">
      <c r="A17" s="65" t="s">
        <v>40</v>
      </c>
      <c r="B17" s="65"/>
      <c r="C17" s="76">
        <f>gmKgCO*9.75/86</f>
        <v>2.368676520589472</v>
      </c>
      <c r="D17" s="29"/>
      <c r="E17" s="113">
        <v>15</v>
      </c>
      <c r="F17" s="114">
        <v>203.9</v>
      </c>
      <c r="G17" s="114">
        <v>75</v>
      </c>
      <c r="H17" s="114">
        <v>713.4</v>
      </c>
      <c r="I17" s="115">
        <v>88.5</v>
      </c>
      <c r="J17" s="96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6" t="e">
        <f>gmKgCondar*33/86</f>
        <v>#DIV/0!</v>
      </c>
      <c r="D18" s="29"/>
      <c r="E18" s="113">
        <v>20</v>
      </c>
      <c r="F18" s="114">
        <v>219.9</v>
      </c>
      <c r="G18" s="114">
        <v>43</v>
      </c>
      <c r="H18" s="114">
        <v>1850</v>
      </c>
      <c r="I18" s="115">
        <v>109.6</v>
      </c>
      <c r="J18" s="96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2.1117230544553367</v>
      </c>
      <c r="D19" s="29"/>
      <c r="E19" s="113">
        <v>25</v>
      </c>
      <c r="F19" s="114">
        <v>225.9</v>
      </c>
      <c r="G19" s="114">
        <v>98</v>
      </c>
      <c r="H19" s="114">
        <v>15.9</v>
      </c>
      <c r="I19" s="115">
        <v>73.3</v>
      </c>
      <c r="J19" s="96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v>0.0619</v>
      </c>
      <c r="D20" s="29"/>
      <c r="E20" s="113">
        <v>30</v>
      </c>
      <c r="F20" s="114">
        <v>207.7</v>
      </c>
      <c r="G20" s="114">
        <v>120</v>
      </c>
      <c r="H20" s="114">
        <v>8.8</v>
      </c>
      <c r="I20" s="115">
        <v>58.8</v>
      </c>
      <c r="J20" s="96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68" t="e">
        <f>(Catch/RunLength)*3.04*(DilutionFactor)/(0.4*StackTempFactor)</f>
        <v>#DIV/0!</v>
      </c>
      <c r="D21" s="29"/>
      <c r="E21" s="113">
        <v>35</v>
      </c>
      <c r="F21" s="114">
        <v>206.2</v>
      </c>
      <c r="G21" s="114">
        <v>159</v>
      </c>
      <c r="H21" s="114">
        <v>99.7</v>
      </c>
      <c r="I21" s="115">
        <v>33</v>
      </c>
      <c r="J21" s="96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7" ht="12.75">
      <c r="A22" s="69" t="s">
        <v>51</v>
      </c>
      <c r="B22" s="70"/>
      <c r="C22" s="71">
        <f>59.3*AvCO*DilutionFactor</f>
        <v>20.892941617507137</v>
      </c>
      <c r="D22" s="29"/>
      <c r="E22" s="113">
        <v>40</v>
      </c>
      <c r="F22" s="116">
        <v>204.5</v>
      </c>
      <c r="G22" s="116">
        <v>180</v>
      </c>
      <c r="H22" s="114">
        <v>212.9</v>
      </c>
      <c r="I22" s="115">
        <v>19.1</v>
      </c>
      <c r="J22" s="96"/>
      <c r="L22" s="29"/>
      <c r="M22" s="1">
        <v>1</v>
      </c>
      <c r="N22" s="39">
        <f>3.615*2.2</f>
        <v>7.953000000000001</v>
      </c>
      <c r="O22" s="39">
        <v>5.9</v>
      </c>
      <c r="P22" s="39"/>
      <c r="Q22" s="39"/>
    </row>
    <row r="23" spans="1:17" ht="12.75">
      <c r="A23" s="69" t="s">
        <v>52</v>
      </c>
      <c r="B23" s="72"/>
      <c r="C23" s="71" t="e">
        <f>100-COLoss-HCLoss</f>
        <v>#DIV/0!</v>
      </c>
      <c r="D23" s="29"/>
      <c r="E23" s="113">
        <v>45</v>
      </c>
      <c r="F23" s="116">
        <v>202.9</v>
      </c>
      <c r="G23" s="116">
        <v>194</v>
      </c>
      <c r="H23" s="114">
        <v>201.9</v>
      </c>
      <c r="I23" s="115">
        <v>9.9</v>
      </c>
      <c r="J23" s="96"/>
      <c r="L23" s="29"/>
      <c r="M23" s="1">
        <v>2</v>
      </c>
      <c r="N23" s="39"/>
      <c r="O23" s="39"/>
      <c r="P23" s="39"/>
      <c r="Q23" s="39"/>
    </row>
    <row r="24" spans="1:17" ht="12.75">
      <c r="A24" s="69" t="s">
        <v>53</v>
      </c>
      <c r="B24" s="70"/>
      <c r="C24" s="71">
        <f>100-DryGasLoss-BoilWaterLoss</f>
        <v>86.94306021827194</v>
      </c>
      <c r="D24" s="29"/>
      <c r="E24" s="113">
        <v>50</v>
      </c>
      <c r="F24" s="116">
        <v>201.1</v>
      </c>
      <c r="G24" s="116">
        <v>202</v>
      </c>
      <c r="H24" s="114">
        <v>143.2</v>
      </c>
      <c r="I24" s="115">
        <v>0</v>
      </c>
      <c r="J24" s="96"/>
      <c r="L24" s="29"/>
      <c r="M24" s="1">
        <v>3</v>
      </c>
      <c r="N24" s="39"/>
      <c r="O24" s="39"/>
      <c r="P24" s="39"/>
      <c r="Q24" s="39"/>
    </row>
    <row r="25" spans="1:17" ht="12.75">
      <c r="A25" s="73" t="s">
        <v>54</v>
      </c>
      <c r="B25" s="74"/>
      <c r="C25" s="75" t="e">
        <f>HTransEffic*CombustEffic/100</f>
        <v>#DIV/0!</v>
      </c>
      <c r="D25" s="29"/>
      <c r="E25" s="113">
        <v>55</v>
      </c>
      <c r="F25" s="116">
        <v>200.6</v>
      </c>
      <c r="G25" s="116">
        <v>206</v>
      </c>
      <c r="H25" s="114">
        <v>39.4</v>
      </c>
      <c r="I25" s="115">
        <v>0</v>
      </c>
      <c r="J25" s="96"/>
      <c r="L25" s="29"/>
      <c r="M25" s="1">
        <v>4</v>
      </c>
      <c r="N25" s="39"/>
      <c r="O25" s="39"/>
      <c r="P25" s="39"/>
      <c r="Q25" s="39"/>
    </row>
    <row r="26" spans="1:17" ht="12.75">
      <c r="A26" s="9" t="s">
        <v>55</v>
      </c>
      <c r="B26" s="10" t="s">
        <v>56</v>
      </c>
      <c r="C26" s="10" t="s">
        <v>57</v>
      </c>
      <c r="D26" s="10" t="s">
        <v>58</v>
      </c>
      <c r="E26" s="113">
        <v>60</v>
      </c>
      <c r="F26" s="116">
        <v>198.3</v>
      </c>
      <c r="G26" s="116">
        <v>207</v>
      </c>
      <c r="H26" s="114">
        <v>10.7</v>
      </c>
      <c r="I26" s="115">
        <v>0</v>
      </c>
      <c r="J26" s="96"/>
      <c r="L26" s="29"/>
      <c r="M26" s="1">
        <v>5</v>
      </c>
      <c r="N26" s="39"/>
      <c r="O26" s="39"/>
      <c r="P26" s="39"/>
      <c r="Q26" s="39"/>
    </row>
    <row r="27" spans="1:17" ht="12.75">
      <c r="A27" s="11" t="s">
        <v>59</v>
      </c>
      <c r="B27" s="12" t="s">
        <v>60</v>
      </c>
      <c r="C27" s="12" t="s">
        <v>60</v>
      </c>
      <c r="D27" s="12" t="s">
        <v>61</v>
      </c>
      <c r="E27" s="113">
        <v>65</v>
      </c>
      <c r="F27" s="116">
        <v>196.6</v>
      </c>
      <c r="G27" s="116">
        <v>208</v>
      </c>
      <c r="H27" s="114">
        <v>4.1</v>
      </c>
      <c r="I27" s="115">
        <v>0</v>
      </c>
      <c r="J27" s="96"/>
      <c r="L27" s="29"/>
      <c r="M27" s="1">
        <v>6</v>
      </c>
      <c r="N27" s="39"/>
      <c r="O27" s="39"/>
      <c r="P27" s="39"/>
      <c r="Q27" s="39"/>
    </row>
    <row r="28" spans="1:17" ht="12.75">
      <c r="A28" s="14">
        <v>1</v>
      </c>
      <c r="B28" s="55"/>
      <c r="C28" s="55"/>
      <c r="D28" s="5">
        <f aca="true" t="shared" si="0" ref="D28:D33">IF(FiltDirty-FiltClean&gt;0,FiltDirty-FiltClean,0)</f>
        <v>0</v>
      </c>
      <c r="E28" s="113">
        <v>70</v>
      </c>
      <c r="F28" s="116">
        <v>194.5</v>
      </c>
      <c r="G28" s="116">
        <v>208</v>
      </c>
      <c r="H28" s="114">
        <v>1.1</v>
      </c>
      <c r="I28" s="115">
        <v>0</v>
      </c>
      <c r="J28" s="96"/>
      <c r="L28" s="29"/>
      <c r="M28" s="1">
        <v>7</v>
      </c>
      <c r="N28" s="39"/>
      <c r="O28" s="39"/>
      <c r="P28" s="39"/>
      <c r="Q28" s="39"/>
    </row>
    <row r="29" spans="1:17" ht="12.75">
      <c r="A29" s="14">
        <v>2</v>
      </c>
      <c r="B29" s="55"/>
      <c r="C29" s="55"/>
      <c r="D29" s="5">
        <f t="shared" si="0"/>
        <v>0</v>
      </c>
      <c r="E29" s="113">
        <v>75</v>
      </c>
      <c r="F29" s="116">
        <v>192.6</v>
      </c>
      <c r="G29" s="116">
        <v>208</v>
      </c>
      <c r="H29" s="114">
        <v>0.8</v>
      </c>
      <c r="I29" s="115">
        <v>0</v>
      </c>
      <c r="J29" s="96"/>
      <c r="L29" s="29"/>
      <c r="M29" s="1">
        <v>8</v>
      </c>
      <c r="N29" s="39"/>
      <c r="O29" s="39"/>
      <c r="P29" s="39"/>
      <c r="Q29" s="39"/>
    </row>
    <row r="30" spans="1:17" ht="12.75">
      <c r="A30" s="14">
        <v>3</v>
      </c>
      <c r="B30" s="55"/>
      <c r="C30" s="55"/>
      <c r="D30" s="5">
        <f t="shared" si="0"/>
        <v>0</v>
      </c>
      <c r="E30" s="113">
        <v>80</v>
      </c>
      <c r="F30" s="116">
        <v>192.8</v>
      </c>
      <c r="G30" s="116">
        <v>208</v>
      </c>
      <c r="H30" s="114">
        <v>0.7</v>
      </c>
      <c r="I30" s="115">
        <v>0</v>
      </c>
      <c r="J30" s="96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113">
        <v>85</v>
      </c>
      <c r="F31" s="116">
        <v>206.7</v>
      </c>
      <c r="G31" s="116">
        <v>190</v>
      </c>
      <c r="H31" s="114">
        <v>183.2</v>
      </c>
      <c r="I31" s="115">
        <v>12.8</v>
      </c>
      <c r="J31" s="96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113">
        <v>90</v>
      </c>
      <c r="F32" s="116">
        <v>125.3</v>
      </c>
      <c r="G32" s="116">
        <v>206</v>
      </c>
      <c r="H32" s="114">
        <v>7.5</v>
      </c>
      <c r="I32" s="115">
        <v>0</v>
      </c>
      <c r="J32" s="96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113">
        <v>95</v>
      </c>
      <c r="F33" s="114">
        <v>82.6</v>
      </c>
      <c r="G33" s="114">
        <v>206</v>
      </c>
      <c r="H33" s="114">
        <v>1.1</v>
      </c>
      <c r="I33" s="115">
        <v>0</v>
      </c>
      <c r="J33" s="96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62</v>
      </c>
      <c r="B34" s="55"/>
      <c r="C34" s="55"/>
      <c r="D34" s="5"/>
      <c r="E34" s="113">
        <v>100</v>
      </c>
      <c r="F34" s="114">
        <v>199.5</v>
      </c>
      <c r="G34" s="114">
        <v>198</v>
      </c>
      <c r="H34" s="114">
        <v>134.2</v>
      </c>
      <c r="I34" s="115">
        <v>8.5</v>
      </c>
      <c r="J34" s="96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63</v>
      </c>
      <c r="B35" s="55"/>
      <c r="C35" s="55"/>
      <c r="D35" s="84"/>
      <c r="E35" s="113">
        <v>105</v>
      </c>
      <c r="F35" s="114">
        <v>96.8</v>
      </c>
      <c r="G35" s="114">
        <v>208</v>
      </c>
      <c r="H35" s="114">
        <v>1.3</v>
      </c>
      <c r="I35" s="115">
        <v>0</v>
      </c>
      <c r="J35" s="96"/>
      <c r="L35" s="29"/>
      <c r="M35" s="1">
        <v>14</v>
      </c>
      <c r="N35" s="39"/>
      <c r="O35" s="39"/>
      <c r="P35" s="39"/>
      <c r="Q35" s="39"/>
    </row>
    <row r="36" spans="1:17" ht="13.5" thickBot="1">
      <c r="A36" s="103"/>
      <c r="B36" s="5" t="s">
        <v>64</v>
      </c>
      <c r="C36" s="5"/>
      <c r="D36" s="5" t="e">
        <f>+COUNT(FiltClean)*(AVERAGE(CleanControl)-AVERAGE(DirtyControl))</f>
        <v>#DIV/0!</v>
      </c>
      <c r="E36" s="113">
        <v>110</v>
      </c>
      <c r="F36" s="114">
        <v>0</v>
      </c>
      <c r="G36" s="114">
        <v>0</v>
      </c>
      <c r="H36" s="114">
        <v>0</v>
      </c>
      <c r="I36" s="115">
        <v>0</v>
      </c>
      <c r="J36" s="96"/>
      <c r="L36" s="29"/>
      <c r="M36" s="1">
        <v>15</v>
      </c>
      <c r="N36" s="39"/>
      <c r="O36" s="39"/>
      <c r="P36" s="39"/>
      <c r="Q36" s="39"/>
    </row>
    <row r="37" spans="1:17" ht="13.5" thickBot="1">
      <c r="A37" s="103"/>
      <c r="B37" s="8" t="s">
        <v>65</v>
      </c>
      <c r="C37" s="7"/>
      <c r="D37" s="7" t="e">
        <f>SUM(D28:D33)+D36</f>
        <v>#DIV/0!</v>
      </c>
      <c r="E37" s="113">
        <v>115</v>
      </c>
      <c r="F37" s="114">
        <v>0</v>
      </c>
      <c r="G37" s="114">
        <v>0</v>
      </c>
      <c r="H37" s="114">
        <v>0</v>
      </c>
      <c r="I37" s="115">
        <v>0</v>
      </c>
      <c r="J37" s="96"/>
      <c r="L37" s="29"/>
      <c r="M37" s="1">
        <v>16</v>
      </c>
      <c r="N37" s="39"/>
      <c r="O37" s="39"/>
      <c r="P37" s="39"/>
      <c r="Q37" s="39"/>
    </row>
    <row r="38" spans="1:17" ht="12.75">
      <c r="A38" s="101"/>
      <c r="B38"/>
      <c r="C38"/>
      <c r="D38"/>
      <c r="E38" s="113">
        <v>120</v>
      </c>
      <c r="F38" s="114">
        <v>0</v>
      </c>
      <c r="G38" s="114">
        <v>0</v>
      </c>
      <c r="H38" s="114">
        <v>0</v>
      </c>
      <c r="I38" s="115">
        <v>0</v>
      </c>
      <c r="J38" s="96"/>
      <c r="L38" s="29"/>
      <c r="M38" s="1">
        <v>17</v>
      </c>
      <c r="N38" s="39"/>
      <c r="O38" s="39"/>
      <c r="P38" s="39"/>
      <c r="Q38" s="39"/>
    </row>
    <row r="39" spans="1:17" ht="12.75">
      <c r="A39" s="101"/>
      <c r="B39" s="2" t="s">
        <v>66</v>
      </c>
      <c r="C39" s="2"/>
      <c r="D39" s="55"/>
      <c r="E39" s="113">
        <v>125</v>
      </c>
      <c r="F39" s="114">
        <v>0</v>
      </c>
      <c r="G39" s="114">
        <v>0</v>
      </c>
      <c r="H39" s="114">
        <v>0</v>
      </c>
      <c r="I39" s="115">
        <v>0</v>
      </c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67</v>
      </c>
      <c r="C40" s="2"/>
      <c r="D40" s="5"/>
      <c r="E40" s="113">
        <v>130</v>
      </c>
      <c r="F40" s="116">
        <v>0</v>
      </c>
      <c r="G40" s="116">
        <v>0</v>
      </c>
      <c r="H40" s="114">
        <v>0</v>
      </c>
      <c r="I40" s="115">
        <v>0</v>
      </c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113">
        <v>135</v>
      </c>
      <c r="F41" s="116">
        <v>0</v>
      </c>
      <c r="G41" s="116">
        <v>0</v>
      </c>
      <c r="H41" s="114">
        <v>0</v>
      </c>
      <c r="I41" s="115">
        <v>0</v>
      </c>
      <c r="J41" s="85"/>
      <c r="L41" s="29"/>
      <c r="M41" s="29"/>
      <c r="N41" s="29"/>
      <c r="O41" s="29"/>
      <c r="P41" s="29"/>
      <c r="Q41" s="29"/>
    </row>
    <row r="42" spans="1:17" ht="12.75">
      <c r="A42" s="101"/>
      <c r="B42" s="2" t="s">
        <v>67</v>
      </c>
      <c r="C42" s="2"/>
      <c r="D42" s="5"/>
      <c r="E42" s="113">
        <v>140</v>
      </c>
      <c r="F42" s="116">
        <v>0</v>
      </c>
      <c r="G42" s="116">
        <v>0</v>
      </c>
      <c r="H42" s="114">
        <v>0</v>
      </c>
      <c r="I42" s="115">
        <v>0</v>
      </c>
      <c r="J42" s="85"/>
      <c r="L42" s="29"/>
      <c r="M42" s="29"/>
      <c r="N42" s="29"/>
      <c r="O42" s="29"/>
      <c r="P42" s="29"/>
      <c r="Q42" s="29"/>
    </row>
    <row r="43" spans="1:17" ht="12.75">
      <c r="A43" s="101"/>
      <c r="B43"/>
      <c r="C43"/>
      <c r="D43"/>
      <c r="E43" s="113">
        <v>145</v>
      </c>
      <c r="F43" s="116">
        <v>0</v>
      </c>
      <c r="G43" s="116">
        <v>0</v>
      </c>
      <c r="H43" s="114">
        <v>0</v>
      </c>
      <c r="I43" s="115">
        <v>0</v>
      </c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113">
        <v>150</v>
      </c>
      <c r="F44" s="116">
        <v>0</v>
      </c>
      <c r="G44" s="116">
        <v>0</v>
      </c>
      <c r="H44" s="114">
        <v>0</v>
      </c>
      <c r="I44" s="115">
        <v>0</v>
      </c>
      <c r="J44" s="85"/>
      <c r="L44"/>
    </row>
    <row r="45" spans="1:12" ht="12.75">
      <c r="A45" s="29"/>
      <c r="B45"/>
      <c r="C45"/>
      <c r="D45"/>
      <c r="E45" s="113">
        <v>155</v>
      </c>
      <c r="F45" s="116">
        <v>0</v>
      </c>
      <c r="G45" s="116">
        <v>0</v>
      </c>
      <c r="H45" s="114">
        <v>0</v>
      </c>
      <c r="I45" s="115">
        <v>0</v>
      </c>
      <c r="J45" s="85"/>
      <c r="L45"/>
    </row>
    <row r="46" spans="1:12" ht="12.75">
      <c r="A46" s="29"/>
      <c r="B46"/>
      <c r="C46"/>
      <c r="D46"/>
      <c r="E46" s="113">
        <v>160</v>
      </c>
      <c r="F46" s="116">
        <v>0</v>
      </c>
      <c r="G46" s="116">
        <v>0</v>
      </c>
      <c r="H46" s="114">
        <v>0</v>
      </c>
      <c r="I46" s="115">
        <v>0</v>
      </c>
      <c r="J46" s="85"/>
      <c r="L46"/>
    </row>
    <row r="47" spans="1:12" ht="12.75">
      <c r="A47" s="29"/>
      <c r="E47" s="99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2"/>
  <headerFooter alignWithMargins="0">
    <oddHeader>&amp;C&amp;F&amp;R&amp;D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2008-01-06T23:06:02Z</dcterms:modified>
  <cp:category/>
  <cp:version/>
  <cp:contentType/>
  <cp:contentStatus/>
</cp:coreProperties>
</file>