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</author>
    <author>Norbert Senf</author>
  </authors>
  <commentList>
    <comment ref="E1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15 min: pile collapses towards window
</t>
        </r>
      </text>
    </comment>
    <comment ref="E24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Filter holder was loose, leak into analyzer</t>
        </r>
      </text>
    </comment>
    <comment ref="E18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24: close ab door</t>
        </r>
      </text>
    </comment>
    <comment ref="E19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28: poke pile back from glass
29: open ab door</t>
        </r>
      </text>
    </comment>
    <comment ref="E20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31: close abdoor
32: fluke glitches - light switch
Top piece is too close to the back (touching the back, from the poke)</t>
        </r>
      </text>
    </comment>
    <comment ref="E28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73: Open bells
</t>
        </r>
      </text>
    </comment>
    <comment ref="E29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76: changed camera battery, less than 2:00 interval between shots 42 and 43
Camera controls not reset properly after before restarting time lapse. Exposure is automatic instead of manual.</t>
        </r>
      </text>
    </comment>
    <comment ref="E31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84: shut down Condar ( no change in setting for 15 minutes)</t>
        </r>
      </text>
    </comment>
    <comment ref="E32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90: poke
</t>
        </r>
      </text>
    </comment>
    <comment ref="E33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98: restarted camera with manual exposure</t>
        </r>
      </text>
    </comment>
    <comment ref="E35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105: poke, cut air 50%</t>
        </r>
      </text>
    </comment>
    <comment ref="E38" authorId="1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120: close air
finish after next photo</t>
        </r>
      </text>
    </comment>
  </commentList>
</comments>
</file>

<file path=xl/sharedStrings.xml><?xml version="1.0" encoding="utf-8"?>
<sst xmlns="http://schemas.openxmlformats.org/spreadsheetml/2006/main" count="86" uniqueCount="78">
  <si>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</si>
  <si>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</si>
  <si>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</si>
  <si>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</si>
  <si>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</si>
  <si>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</si>
  <si>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</si>
  <si>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</si>
  <si>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</si>
  <si>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</si>
  <si>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</si>
  <si>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</si>
  <si>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</si>
  <si>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</si>
  <si>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</si>
  <si>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</si>
  <si>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</si>
  <si>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</si>
  <si>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</si>
  <si>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</si>
  <si>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</si>
  <si>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</si>
  <si>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</si>
  <si>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</si>
  <si>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</si>
  <si>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</si>
  <si>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</si>
  <si>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</si>
  <si>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</si>
  <si>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</si>
  <si>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</si>
  <si>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</si>
  <si>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</si>
  <si>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</si>
  <si>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</si>
  <si>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</si>
  <si>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</si>
  <si>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</si>
  <si>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</si>
  <si>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</si>
  <si>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</si>
  <si>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</si>
  <si>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</si>
  <si>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</si>
  <si>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</si>
  <si>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</si>
  <si>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</si>
  <si>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</si>
  <si>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</si>
  <si>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</si>
  <si>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</si>
  <si>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</si>
  <si>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</si>
  <si>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</si>
  <si>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</si>
  <si>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</si>
  <si>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</si>
  <si>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</si>
  <si>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</si>
  <si>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</si>
  <si>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</si>
  <si>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</si>
  <si>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</si>
  <si>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</si>
  <si>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</si>
  <si>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</si>
  <si>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</si>
  <si>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</si>
  <si>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</si>
  <si>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</si>
  <si>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</si>
  <si>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HK</t>
  </si>
  <si>
    <t>Revised Jan 8/08</t>
  </si>
  <si>
    <t>16+</t>
  </si>
  <si>
    <t>Mpl</t>
  </si>
  <si>
    <t>HKJ-04</t>
  </si>
  <si>
    <t>Note: gas data estimated to 53 minutes</t>
  </si>
  <si>
    <t>due to leak, in order to get approx PM calculation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</si>
</sst>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b/>
      <sz val="8"/>
      <name val="Helv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2" fontId="6" fillId="10" borderId="11" xfId="0" applyNumberFormat="1" applyFont="1" applyFill="1" applyBorder="1" applyAlignment="1">
      <alignment horizontal="center"/>
    </xf>
    <xf numFmtId="2" fontId="6" fillId="10" borderId="13" xfId="0" applyNumberFormat="1" applyFont="1" applyFill="1" applyBorder="1" applyAlignment="1">
      <alignment horizontal="center"/>
    </xf>
    <xf numFmtId="2" fontId="6" fillId="10" borderId="12" xfId="0" applyNumberFormat="1" applyFont="1" applyFill="1" applyBorder="1" applyAlignment="1">
      <alignment horizontal="center"/>
    </xf>
    <xf numFmtId="1" fontId="4" fillId="10" borderId="0" xfId="0" applyNumberFormat="1" applyFont="1" applyFill="1" applyBorder="1" applyAlignment="1">
      <alignment horizontal="left"/>
    </xf>
    <xf numFmtId="1" fontId="4" fillId="10" borderId="0" xfId="0" applyNumberFormat="1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172" fontId="4" fillId="10" borderId="0" xfId="0" applyNumberFormat="1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9654442"/>
        <c:crosses val="autoZero"/>
        <c:auto val="0"/>
        <c:lblOffset val="100"/>
        <c:tickLblSkip val="2"/>
        <c:noMultiLvlLbl val="0"/>
      </c:catAx>
      <c:valAx>
        <c:axId val="19654442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9466529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29900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21" sqref="C21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4" width="9.140625" style="1" customWidth="1"/>
    <col min="15" max="15" width="9.57421875" style="1" bestFit="1" customWidth="1"/>
    <col min="16" max="16384" width="9.140625" style="1" customWidth="1"/>
  </cols>
  <sheetData>
    <row r="1" spans="1:17" ht="18" customHeight="1" outlineLevel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9"/>
      <c r="K1" s="2"/>
      <c r="L1" s="117" t="s">
        <v>1</v>
      </c>
      <c r="M1" s="118"/>
      <c r="N1" s="118"/>
      <c r="O1" s="118"/>
      <c r="P1" s="118"/>
      <c r="Q1" s="119"/>
    </row>
    <row r="2" spans="1:21" ht="15.75" outlineLevel="1">
      <c r="A2" s="1" t="s">
        <v>72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4" t="str">
        <f>RunNumber</f>
        <v>HKJ-04</v>
      </c>
      <c r="D3" s="29"/>
      <c r="E3" s="23" t="s">
        <v>70</v>
      </c>
      <c r="F3" s="79" t="str">
        <f>Q8</f>
        <v>HK</v>
      </c>
      <c r="G3" s="13"/>
      <c r="H3" s="13" t="s">
        <v>5</v>
      </c>
      <c r="I3" s="25"/>
      <c r="J3" s="98">
        <f>DATE</f>
        <v>39459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16</v>
      </c>
      <c r="D4" s="29"/>
      <c r="E4" s="2" t="s">
        <v>8</v>
      </c>
      <c r="F4" s="2"/>
      <c r="G4" s="6">
        <f>TimeSinceLast</f>
        <v>24</v>
      </c>
      <c r="H4" s="19" t="s">
        <v>9</v>
      </c>
      <c r="I4" s="2"/>
      <c r="J4" s="6">
        <f>AmbientTemperature</f>
        <v>20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56.199999999999996</v>
      </c>
      <c r="D5" s="29"/>
      <c r="E5" s="2" t="s">
        <v>12</v>
      </c>
      <c r="F5" s="20"/>
      <c r="G5" s="18">
        <f>(StartTime)</f>
        <v>0.7229166666666668</v>
      </c>
      <c r="H5" s="19"/>
      <c r="I5" s="21"/>
      <c r="J5" s="21"/>
      <c r="K5"/>
      <c r="L5" s="29"/>
      <c r="M5" s="29"/>
      <c r="N5" s="88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3</v>
      </c>
      <c r="D6" s="29"/>
      <c r="E6" s="23" t="s">
        <v>16</v>
      </c>
      <c r="F6" s="13"/>
      <c r="G6" s="13"/>
      <c r="H6" s="13"/>
      <c r="I6" s="13"/>
      <c r="J6" s="24"/>
      <c r="K6"/>
      <c r="L6" s="114" t="s">
        <v>14</v>
      </c>
      <c r="M6" s="115"/>
      <c r="N6" s="115"/>
      <c r="O6" s="115"/>
      <c r="P6" s="115"/>
      <c r="Q6" s="116"/>
    </row>
    <row r="7" spans="1:17" ht="12.75" outlineLevel="1">
      <c r="A7" s="65" t="s">
        <v>17</v>
      </c>
      <c r="B7" s="65"/>
      <c r="C7" s="33">
        <f>COUNT(PcWt)</f>
        <v>8</v>
      </c>
      <c r="D7" s="29"/>
      <c r="E7" s="2" t="s">
        <v>18</v>
      </c>
      <c r="F7" s="2"/>
      <c r="G7" s="6"/>
      <c r="H7" s="1" t="str">
        <f>FuelType</f>
        <v>Mpl</v>
      </c>
      <c r="I7" s="30"/>
      <c r="J7" s="30"/>
      <c r="K7"/>
      <c r="L7" t="s">
        <v>4</v>
      </c>
      <c r="M7"/>
      <c r="N7" s="55" t="s">
        <v>75</v>
      </c>
      <c r="O7" s="45" t="s">
        <v>5</v>
      </c>
      <c r="P7" s="45"/>
      <c r="Q7" s="78">
        <v>39459</v>
      </c>
    </row>
    <row r="8" spans="1:17" ht="12.75" outlineLevel="1">
      <c r="A8" s="65" t="s">
        <v>19</v>
      </c>
      <c r="B8" s="65"/>
      <c r="C8" s="73">
        <f>(AVERAGE(Length)+SUM(Circumf))/(WtFuel-WtKindl)</f>
        <v>2.6960257787325457</v>
      </c>
      <c r="D8" s="29"/>
      <c r="E8" s="2" t="s">
        <v>20</v>
      </c>
      <c r="F8" s="4"/>
      <c r="G8" s="22"/>
      <c r="H8" s="30">
        <f>O15</f>
        <v>0</v>
      </c>
      <c r="I8" s="30"/>
      <c r="J8" s="30"/>
      <c r="K8"/>
      <c r="L8" t="s">
        <v>8</v>
      </c>
      <c r="M8"/>
      <c r="N8" s="36">
        <v>24</v>
      </c>
      <c r="O8" s="45" t="s">
        <v>69</v>
      </c>
      <c r="P8" s="45"/>
      <c r="Q8" s="55" t="s">
        <v>71</v>
      </c>
    </row>
    <row r="9" spans="1:17" ht="12.75" outlineLevel="1">
      <c r="A9" s="65" t="s">
        <v>21</v>
      </c>
      <c r="B9" s="65"/>
      <c r="C9" s="35">
        <f>(COUNT(StackTemp)-1)/12</f>
        <v>2.0833333333333335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77">
        <v>0.7229166666666668</v>
      </c>
      <c r="O9" s="45" t="s">
        <v>9</v>
      </c>
      <c r="P9" s="45"/>
      <c r="Q9" s="36">
        <v>20</v>
      </c>
    </row>
    <row r="10" spans="1:17" ht="12.75" outlineLevel="1">
      <c r="A10" s="65" t="s">
        <v>23</v>
      </c>
      <c r="B10" s="65"/>
      <c r="C10" s="32">
        <f>AVERAGE(StackTemp)</f>
        <v>277.10769230769233</v>
      </c>
      <c r="D10" s="29"/>
      <c r="E10" s="94"/>
      <c r="F10" s="94"/>
      <c r="G10" s="94"/>
      <c r="H10" s="94"/>
      <c r="I10" s="95"/>
      <c r="J10" s="95"/>
      <c r="K10"/>
      <c r="N10" s="38"/>
      <c r="O10" s="45" t="s">
        <v>13</v>
      </c>
      <c r="P10" s="55"/>
      <c r="Q10" s="55"/>
    </row>
    <row r="11" spans="1:17" ht="12.75" outlineLevel="1">
      <c r="A11" s="65" t="s">
        <v>24</v>
      </c>
      <c r="B11" s="65"/>
      <c r="C11" s="73">
        <f>AVERAGE(Ocalc)/10</f>
        <v>14.229166666666666</v>
      </c>
      <c r="D11" s="29"/>
      <c r="E11" s="80"/>
      <c r="F11" s="80"/>
      <c r="G11" s="80"/>
      <c r="H11" s="95"/>
      <c r="I11" s="95"/>
      <c r="J11" s="95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3">
        <f>AVERAGE(CO)/100</f>
        <v>0.09312692307692308</v>
      </c>
      <c r="D12" s="29"/>
      <c r="E12" s="23" t="s">
        <v>26</v>
      </c>
      <c r="F12" s="13"/>
      <c r="G12" s="13"/>
      <c r="H12" s="23"/>
      <c r="I12" s="13"/>
      <c r="J12" s="24"/>
      <c r="K12"/>
      <c r="L12" s="114" t="s">
        <v>16</v>
      </c>
      <c r="M12" s="115"/>
      <c r="N12" s="115"/>
      <c r="O12" s="115"/>
      <c r="P12" s="115"/>
      <c r="Q12" s="116"/>
    </row>
    <row r="13" spans="1:17" ht="12.75">
      <c r="A13" s="65" t="s">
        <v>28</v>
      </c>
      <c r="B13" s="65"/>
      <c r="C13" s="74">
        <f>SQRT(528/(460+AvStackTemp))</f>
        <v>0.8463529056733523</v>
      </c>
      <c r="D13" s="80"/>
      <c r="E13" s="97" t="s">
        <v>29</v>
      </c>
      <c r="F13" s="99" t="s">
        <v>30</v>
      </c>
      <c r="G13" s="99" t="s">
        <v>31</v>
      </c>
      <c r="H13" s="89" t="s">
        <v>32</v>
      </c>
      <c r="I13" s="89" t="s">
        <v>33</v>
      </c>
      <c r="J13" s="89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4">
        <f>20.9/(20.9-AvO2)</f>
        <v>3.1330418488444725</v>
      </c>
      <c r="D14" s="29"/>
      <c r="E14" s="100">
        <v>0</v>
      </c>
      <c r="F14" s="101">
        <v>91</v>
      </c>
      <c r="G14" s="101">
        <v>206</v>
      </c>
      <c r="H14" s="101">
        <v>0</v>
      </c>
      <c r="I14" s="102">
        <v>0</v>
      </c>
      <c r="J14" s="90"/>
      <c r="L14" s="1" t="s">
        <v>34</v>
      </c>
      <c r="N14" s="64" t="s">
        <v>74</v>
      </c>
      <c r="O14" s="105">
        <v>2222</v>
      </c>
      <c r="P14" s="54"/>
      <c r="Q14" s="58"/>
    </row>
    <row r="15" spans="1:17" ht="12.75">
      <c r="A15" s="65" t="s">
        <v>36</v>
      </c>
      <c r="B15" s="65"/>
      <c r="C15" s="73">
        <f>((WtFuel-(UnburnedFuel*(1+AvMoisture/100)))/RunLength)*(1-(AvMoisture/100))/2.2</f>
        <v>10.29992727272727</v>
      </c>
      <c r="D15" s="29"/>
      <c r="E15" s="100">
        <v>5</v>
      </c>
      <c r="F15" s="101">
        <v>197.3</v>
      </c>
      <c r="G15" s="101">
        <v>185</v>
      </c>
      <c r="H15" s="101">
        <v>4.56</v>
      </c>
      <c r="I15" s="102">
        <v>0</v>
      </c>
      <c r="J15" s="91"/>
      <c r="L15" s="29"/>
      <c r="M15" s="29"/>
      <c r="N15" s="29"/>
      <c r="O15" s="57"/>
      <c r="P15" s="54"/>
      <c r="Q15" s="58"/>
    </row>
    <row r="16" spans="1:17" ht="12.75">
      <c r="A16" s="65" t="s">
        <v>38</v>
      </c>
      <c r="B16" s="65"/>
      <c r="C16" s="73">
        <f>(8.05+0.0035*(AvStackTemp-70))+(2.58+0.00114*AvStackTemp)</f>
        <v>11.670779692307693</v>
      </c>
      <c r="D16" s="29"/>
      <c r="E16" s="100">
        <v>10</v>
      </c>
      <c r="F16" s="101">
        <v>227</v>
      </c>
      <c r="G16" s="101">
        <v>155</v>
      </c>
      <c r="H16" s="101">
        <v>4.42</v>
      </c>
      <c r="I16" s="102">
        <v>9.5</v>
      </c>
      <c r="J16" s="91"/>
      <c r="L16" s="2" t="s">
        <v>37</v>
      </c>
      <c r="M16" s="2"/>
      <c r="N16" s="56">
        <v>3</v>
      </c>
      <c r="O16" s="57"/>
      <c r="P16" s="54"/>
      <c r="Q16" s="58"/>
    </row>
    <row r="17" spans="1:17" ht="12.75">
      <c r="A17" s="65" t="s">
        <v>40</v>
      </c>
      <c r="B17" s="65"/>
      <c r="C17" s="73">
        <f>gmKgCO*9.75/86</f>
        <v>1.961563211147103</v>
      </c>
      <c r="D17" s="29"/>
      <c r="E17" s="100">
        <v>15</v>
      </c>
      <c r="F17" s="101">
        <v>258</v>
      </c>
      <c r="G17" s="101">
        <v>132</v>
      </c>
      <c r="H17" s="101">
        <v>4.34</v>
      </c>
      <c r="I17" s="102">
        <v>17.1</v>
      </c>
      <c r="J17" s="91"/>
      <c r="L17" s="1" t="s">
        <v>39</v>
      </c>
      <c r="N17" s="56">
        <v>0</v>
      </c>
      <c r="O17" s="59"/>
      <c r="P17" s="60"/>
      <c r="Q17" s="61"/>
    </row>
    <row r="18" spans="1:17" ht="12.75">
      <c r="A18" s="65" t="s">
        <v>41</v>
      </c>
      <c r="B18" s="65"/>
      <c r="C18" s="73">
        <f>gmKgCondar*33/86</f>
        <v>0.3378567658000613</v>
      </c>
      <c r="D18" s="29"/>
      <c r="E18" s="100">
        <v>20</v>
      </c>
      <c r="F18" s="101">
        <v>287.1</v>
      </c>
      <c r="G18" s="101">
        <v>118</v>
      </c>
      <c r="H18" s="101">
        <v>4.77</v>
      </c>
      <c r="I18" s="102">
        <v>17.2</v>
      </c>
      <c r="J18" s="91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3">
        <f>((1.5*DilutionFactor*(AvStackTemp-70))/8600)*100</f>
        <v>11.317623265423334</v>
      </c>
      <c r="D19" s="29"/>
      <c r="E19" s="100">
        <v>25</v>
      </c>
      <c r="F19" s="101">
        <v>268</v>
      </c>
      <c r="G19" s="101">
        <v>107</v>
      </c>
      <c r="H19" s="101">
        <v>6.7</v>
      </c>
      <c r="I19" s="102">
        <v>24.5</v>
      </c>
      <c r="J19" s="91"/>
      <c r="L19" s="29"/>
      <c r="M19" s="29"/>
      <c r="N19" s="29"/>
      <c r="O19" s="29"/>
      <c r="P19" s="29"/>
      <c r="Q19" s="29"/>
    </row>
    <row r="20" spans="1:17" ht="15">
      <c r="A20" s="75" t="s">
        <v>44</v>
      </c>
      <c r="B20" s="76"/>
      <c r="C20" s="76">
        <v>0.0652</v>
      </c>
      <c r="D20" s="29"/>
      <c r="E20" s="100">
        <v>30</v>
      </c>
      <c r="F20" s="101">
        <v>301.5</v>
      </c>
      <c r="G20" s="101">
        <v>104</v>
      </c>
      <c r="H20" s="101">
        <v>8.4</v>
      </c>
      <c r="I20" s="102">
        <v>25.7</v>
      </c>
      <c r="J20" s="91"/>
      <c r="L20" s="29"/>
      <c r="M20" s="27" t="s">
        <v>43</v>
      </c>
      <c r="N20" s="31"/>
      <c r="O20" s="31"/>
      <c r="P20" s="31"/>
      <c r="Q20" s="31"/>
    </row>
    <row r="21" spans="1:17" ht="12.75">
      <c r="A21" s="66" t="s">
        <v>50</v>
      </c>
      <c r="B21" s="67"/>
      <c r="C21" s="106">
        <f>(Catch/RunLength)*3.04*(DilutionFactor)/(0.4*StackTempFactor)</f>
        <v>0.880475207842584</v>
      </c>
      <c r="D21" s="29"/>
      <c r="E21" s="100">
        <v>35</v>
      </c>
      <c r="F21" s="101">
        <v>278.7</v>
      </c>
      <c r="G21" s="101">
        <v>110</v>
      </c>
      <c r="H21" s="101">
        <v>6.08</v>
      </c>
      <c r="I21" s="102">
        <v>32.4</v>
      </c>
      <c r="J21" s="91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24" t="s">
        <v>49</v>
      </c>
    </row>
    <row r="22" spans="1:18" ht="12.75">
      <c r="A22" s="68" t="s">
        <v>51</v>
      </c>
      <c r="B22" s="69"/>
      <c r="C22" s="107">
        <f>59.3*AvCO*DilutionFactor</f>
        <v>17.30199345216932</v>
      </c>
      <c r="D22" s="29"/>
      <c r="E22" s="100">
        <v>40</v>
      </c>
      <c r="F22" s="103">
        <v>288.4</v>
      </c>
      <c r="G22" s="103">
        <v>116</v>
      </c>
      <c r="H22" s="103">
        <v>4.23</v>
      </c>
      <c r="I22" s="102">
        <v>36.7</v>
      </c>
      <c r="J22" s="91"/>
      <c r="L22" s="29"/>
      <c r="M22" s="1">
        <v>1</v>
      </c>
      <c r="N22" s="39">
        <v>5.9</v>
      </c>
      <c r="O22" s="39">
        <v>16</v>
      </c>
      <c r="P22" s="39">
        <v>14</v>
      </c>
      <c r="Q22" s="39">
        <v>16</v>
      </c>
      <c r="R22" s="1">
        <v>1</v>
      </c>
    </row>
    <row r="23" spans="1:18" ht="12.75">
      <c r="A23" s="68" t="s">
        <v>52</v>
      </c>
      <c r="B23" s="70"/>
      <c r="C23" s="107">
        <f>100-COLoss-HCLoss</f>
        <v>97.70058002305284</v>
      </c>
      <c r="D23" s="29"/>
      <c r="E23" s="100">
        <v>45</v>
      </c>
      <c r="F23" s="103">
        <v>290.7</v>
      </c>
      <c r="G23" s="103">
        <v>121</v>
      </c>
      <c r="H23" s="103">
        <v>2.98</v>
      </c>
      <c r="I23" s="102">
        <v>38.4</v>
      </c>
      <c r="J23" s="91"/>
      <c r="L23" s="29"/>
      <c r="M23" s="1">
        <v>2</v>
      </c>
      <c r="N23" s="39">
        <v>5.3</v>
      </c>
      <c r="O23" s="39">
        <v>16</v>
      </c>
      <c r="P23" s="39">
        <v>15</v>
      </c>
      <c r="Q23" s="39">
        <v>16</v>
      </c>
      <c r="R23" s="1">
        <v>3</v>
      </c>
    </row>
    <row r="24" spans="1:18" ht="12.75">
      <c r="A24" s="68" t="s">
        <v>53</v>
      </c>
      <c r="B24" s="69"/>
      <c r="C24" s="107">
        <f>100-DryGasLoss-BoilWaterLoss</f>
        <v>77.01159704226897</v>
      </c>
      <c r="D24" s="29"/>
      <c r="E24" s="100">
        <v>50</v>
      </c>
      <c r="F24" s="103">
        <v>293.1</v>
      </c>
      <c r="G24" s="103">
        <v>126</v>
      </c>
      <c r="H24" s="103">
        <v>2.46</v>
      </c>
      <c r="I24" s="102">
        <v>41.8</v>
      </c>
      <c r="J24" s="91"/>
      <c r="L24" s="29"/>
      <c r="M24" s="1">
        <v>3</v>
      </c>
      <c r="N24" s="39">
        <v>7.8</v>
      </c>
      <c r="O24" s="39">
        <v>16</v>
      </c>
      <c r="P24" s="39">
        <v>17</v>
      </c>
      <c r="Q24" s="39">
        <v>15.5</v>
      </c>
      <c r="R24" s="1">
        <v>1</v>
      </c>
    </row>
    <row r="25" spans="1:18" ht="12.75">
      <c r="A25" s="71" t="s">
        <v>54</v>
      </c>
      <c r="B25" s="72"/>
      <c r="C25" s="108">
        <f>HTransEffic*CombustEffic/100</f>
        <v>75.24077699531298</v>
      </c>
      <c r="D25" s="29"/>
      <c r="E25" s="100">
        <v>55</v>
      </c>
      <c r="F25" s="103">
        <v>305.6</v>
      </c>
      <c r="G25" s="103">
        <v>130</v>
      </c>
      <c r="H25" s="103">
        <v>2.37</v>
      </c>
      <c r="I25" s="102">
        <v>43.5</v>
      </c>
      <c r="J25" s="91"/>
      <c r="L25" s="29"/>
      <c r="M25" s="1">
        <v>4</v>
      </c>
      <c r="N25" s="39">
        <v>6.8</v>
      </c>
      <c r="O25" s="39">
        <v>16</v>
      </c>
      <c r="P25" s="39">
        <v>15.5</v>
      </c>
      <c r="Q25" s="39">
        <v>16</v>
      </c>
      <c r="R25" s="1">
        <v>1</v>
      </c>
    </row>
    <row r="26" spans="1:18" ht="12.75">
      <c r="A26" s="9" t="s">
        <v>55</v>
      </c>
      <c r="B26" s="10" t="s">
        <v>56</v>
      </c>
      <c r="C26" s="10" t="s">
        <v>57</v>
      </c>
      <c r="D26" s="10" t="s">
        <v>58</v>
      </c>
      <c r="E26" s="100">
        <v>60</v>
      </c>
      <c r="F26" s="103">
        <v>315</v>
      </c>
      <c r="G26" s="103">
        <v>133</v>
      </c>
      <c r="H26" s="103">
        <v>3.14</v>
      </c>
      <c r="I26" s="102">
        <v>50</v>
      </c>
      <c r="J26" s="91"/>
      <c r="L26" s="29"/>
      <c r="M26" s="1">
        <v>5</v>
      </c>
      <c r="N26" s="39">
        <v>7.6</v>
      </c>
      <c r="O26" s="39">
        <v>16</v>
      </c>
      <c r="P26" s="39">
        <v>17</v>
      </c>
      <c r="Q26" s="39">
        <v>16</v>
      </c>
      <c r="R26" s="1">
        <v>2</v>
      </c>
    </row>
    <row r="27" spans="1:18" ht="12.75">
      <c r="A27" s="11" t="s">
        <v>59</v>
      </c>
      <c r="B27" s="12" t="s">
        <v>60</v>
      </c>
      <c r="C27" s="12" t="s">
        <v>60</v>
      </c>
      <c r="D27" s="12" t="s">
        <v>61</v>
      </c>
      <c r="E27" s="100">
        <v>65</v>
      </c>
      <c r="F27" s="103">
        <v>319.3</v>
      </c>
      <c r="G27" s="103">
        <v>133</v>
      </c>
      <c r="H27" s="103">
        <v>2.24</v>
      </c>
      <c r="I27" s="102">
        <v>53.7</v>
      </c>
      <c r="J27" s="91"/>
      <c r="L27" s="29"/>
      <c r="M27" s="1">
        <v>6</v>
      </c>
      <c r="N27" s="39">
        <v>6.9</v>
      </c>
      <c r="O27" s="39">
        <v>16</v>
      </c>
      <c r="P27" s="39">
        <v>18</v>
      </c>
      <c r="Q27" s="39">
        <v>16.5</v>
      </c>
      <c r="R27" s="1">
        <v>2</v>
      </c>
    </row>
    <row r="28" spans="1:18" ht="12.75">
      <c r="A28" s="14">
        <v>1</v>
      </c>
      <c r="B28" s="55">
        <v>1.0008</v>
      </c>
      <c r="C28" s="55">
        <v>1.0642</v>
      </c>
      <c r="D28" s="5">
        <f aca="true" t="shared" si="0" ref="D28:D33">IF(FiltDirty-FiltClean&gt;0,FiltDirty-FiltClean,0)</f>
        <v>0.06340000000000012</v>
      </c>
      <c r="E28" s="100">
        <v>70</v>
      </c>
      <c r="F28" s="103">
        <v>318.9</v>
      </c>
      <c r="G28" s="103">
        <v>130</v>
      </c>
      <c r="H28" s="103">
        <v>3.08</v>
      </c>
      <c r="I28" s="102">
        <v>54.3</v>
      </c>
      <c r="J28" s="91"/>
      <c r="L28" s="29"/>
      <c r="M28" s="1">
        <v>7</v>
      </c>
      <c r="N28" s="39">
        <v>6.3</v>
      </c>
      <c r="O28" s="39">
        <v>16</v>
      </c>
      <c r="P28" s="39">
        <v>16.5</v>
      </c>
      <c r="Q28" s="39">
        <v>15.5</v>
      </c>
      <c r="R28" s="1">
        <v>2</v>
      </c>
    </row>
    <row r="29" spans="1:18" ht="12.75">
      <c r="A29" s="14">
        <v>2</v>
      </c>
      <c r="B29" s="55">
        <v>1.0054</v>
      </c>
      <c r="C29" s="55">
        <v>1.0072</v>
      </c>
      <c r="D29" s="5">
        <f t="shared" si="0"/>
        <v>0.0018000000000000238</v>
      </c>
      <c r="E29" s="100">
        <v>75</v>
      </c>
      <c r="F29" s="103">
        <v>326.6</v>
      </c>
      <c r="G29" s="103">
        <v>128</v>
      </c>
      <c r="H29" s="103">
        <v>2.6</v>
      </c>
      <c r="I29" s="102">
        <v>49.3</v>
      </c>
      <c r="J29" s="91"/>
      <c r="L29" s="29"/>
      <c r="M29" s="1">
        <v>8</v>
      </c>
      <c r="N29" s="39">
        <v>6.6</v>
      </c>
      <c r="O29" s="39">
        <v>16</v>
      </c>
      <c r="P29" s="39">
        <v>14.5</v>
      </c>
      <c r="Q29" s="39" t="s">
        <v>73</v>
      </c>
      <c r="R29" s="1">
        <v>1</v>
      </c>
    </row>
    <row r="30" spans="1:17" ht="12.75">
      <c r="A30" s="14">
        <v>3</v>
      </c>
      <c r="B30" s="55"/>
      <c r="C30" s="55"/>
      <c r="D30" s="5">
        <f t="shared" si="0"/>
        <v>0</v>
      </c>
      <c r="E30" s="100">
        <v>80</v>
      </c>
      <c r="F30" s="103">
        <v>299.1</v>
      </c>
      <c r="G30" s="103">
        <v>135</v>
      </c>
      <c r="H30" s="103">
        <v>2.81</v>
      </c>
      <c r="I30" s="102">
        <v>45.5</v>
      </c>
      <c r="J30" s="91"/>
      <c r="L30" s="29"/>
      <c r="M30" s="1">
        <v>9</v>
      </c>
      <c r="N30" s="39"/>
      <c r="O30" s="39"/>
      <c r="P30" s="39"/>
      <c r="Q30" s="39"/>
    </row>
    <row r="31" spans="1:17" ht="12.75">
      <c r="A31" s="14">
        <v>4</v>
      </c>
      <c r="B31" s="55"/>
      <c r="C31" s="55"/>
      <c r="D31" s="5">
        <f t="shared" si="0"/>
        <v>0</v>
      </c>
      <c r="E31" s="100">
        <v>85</v>
      </c>
      <c r="F31" s="103">
        <v>296</v>
      </c>
      <c r="G31" s="103">
        <v>139</v>
      </c>
      <c r="H31" s="103">
        <v>3.43</v>
      </c>
      <c r="I31" s="102">
        <v>43.3</v>
      </c>
      <c r="J31" s="91"/>
      <c r="L31" s="29"/>
      <c r="M31" s="1">
        <v>10</v>
      </c>
      <c r="N31" s="39"/>
      <c r="O31" s="39"/>
      <c r="P31" s="39"/>
      <c r="Q31" s="39"/>
    </row>
    <row r="32" spans="1:17" ht="12.75">
      <c r="A32" s="14">
        <v>5</v>
      </c>
      <c r="B32" s="55"/>
      <c r="C32" s="55"/>
      <c r="D32" s="5">
        <f t="shared" si="0"/>
        <v>0</v>
      </c>
      <c r="E32" s="100">
        <v>90</v>
      </c>
      <c r="F32" s="103">
        <v>296.5</v>
      </c>
      <c r="G32" s="103">
        <v>153</v>
      </c>
      <c r="H32" s="103">
        <v>12.58</v>
      </c>
      <c r="I32" s="102">
        <v>44.8</v>
      </c>
      <c r="J32" s="91"/>
      <c r="L32" s="29"/>
      <c r="M32" s="1">
        <v>11</v>
      </c>
      <c r="N32" s="39"/>
      <c r="O32" s="39"/>
      <c r="P32" s="39"/>
      <c r="Q32" s="39"/>
    </row>
    <row r="33" spans="1:17" ht="13.5" thickBot="1">
      <c r="A33" s="14">
        <v>6</v>
      </c>
      <c r="B33" s="55"/>
      <c r="C33" s="55"/>
      <c r="D33" s="5">
        <f t="shared" si="0"/>
        <v>0</v>
      </c>
      <c r="E33" s="100">
        <v>95</v>
      </c>
      <c r="F33" s="101">
        <v>306.5</v>
      </c>
      <c r="G33" s="101">
        <v>170</v>
      </c>
      <c r="H33" s="101">
        <v>7.73</v>
      </c>
      <c r="I33" s="102">
        <v>46.6</v>
      </c>
      <c r="J33" s="91"/>
      <c r="L33" s="29"/>
      <c r="M33" s="1">
        <v>12</v>
      </c>
      <c r="N33" s="39"/>
      <c r="O33" s="39"/>
      <c r="P33" s="39"/>
      <c r="Q33" s="39"/>
    </row>
    <row r="34" spans="1:27" ht="13.5" thickBot="1">
      <c r="A34" s="15" t="s">
        <v>62</v>
      </c>
      <c r="B34" s="55">
        <v>2.2222</v>
      </c>
      <c r="C34" s="55">
        <v>2.2222</v>
      </c>
      <c r="D34" s="5"/>
      <c r="E34" s="100">
        <v>100</v>
      </c>
      <c r="F34" s="101">
        <v>308.2</v>
      </c>
      <c r="G34" s="101">
        <v>171</v>
      </c>
      <c r="H34" s="101">
        <v>17.28</v>
      </c>
      <c r="I34" s="102">
        <v>45.9</v>
      </c>
      <c r="J34" s="91"/>
      <c r="L34" s="29"/>
      <c r="M34" s="1">
        <v>13</v>
      </c>
      <c r="N34" s="39"/>
      <c r="O34" s="39"/>
      <c r="P34" s="39"/>
      <c r="Q34" s="39"/>
      <c r="V34" s="84"/>
      <c r="W34" s="85"/>
      <c r="X34" s="85"/>
      <c r="Y34" s="86"/>
      <c r="Z34" s="86"/>
      <c r="AA34" s="87"/>
    </row>
    <row r="35" spans="1:17" ht="12.75">
      <c r="A35" s="16" t="s">
        <v>63</v>
      </c>
      <c r="B35" s="55">
        <v>2.2222</v>
      </c>
      <c r="C35" s="55">
        <v>2.2222</v>
      </c>
      <c r="D35" s="81"/>
      <c r="E35" s="100">
        <v>105</v>
      </c>
      <c r="F35" s="101">
        <v>304.5</v>
      </c>
      <c r="G35" s="101">
        <v>176</v>
      </c>
      <c r="H35" s="101">
        <v>20.79</v>
      </c>
      <c r="I35" s="102">
        <v>47.2</v>
      </c>
      <c r="J35" s="91"/>
      <c r="L35" s="29"/>
      <c r="M35" s="1">
        <v>14</v>
      </c>
      <c r="N35" s="39"/>
      <c r="O35" s="39"/>
      <c r="P35" s="39"/>
      <c r="Q35" s="39"/>
    </row>
    <row r="36" spans="1:17" ht="13.5" thickBot="1">
      <c r="A36" s="96"/>
      <c r="B36" s="5" t="s">
        <v>64</v>
      </c>
      <c r="C36" s="5"/>
      <c r="D36" s="5">
        <f>+COUNT(FiltClean)*(AVERAGE(CleanControl)-AVERAGE(DirtyControl))</f>
        <v>0</v>
      </c>
      <c r="E36" s="100">
        <v>110</v>
      </c>
      <c r="F36" s="101">
        <v>255.5</v>
      </c>
      <c r="G36" s="101">
        <v>182</v>
      </c>
      <c r="H36" s="101">
        <v>9.49</v>
      </c>
      <c r="I36" s="102">
        <v>48.9</v>
      </c>
      <c r="J36" s="91"/>
      <c r="L36" s="29"/>
      <c r="M36" s="1">
        <v>15</v>
      </c>
      <c r="N36" s="39"/>
      <c r="O36" s="39"/>
      <c r="P36" s="39"/>
      <c r="Q36" s="39"/>
    </row>
    <row r="37" spans="1:17" ht="13.5" thickBot="1">
      <c r="A37" s="96"/>
      <c r="B37" s="8" t="s">
        <v>65</v>
      </c>
      <c r="C37" s="7"/>
      <c r="D37" s="7">
        <f>SUM(D28:D33)+D36</f>
        <v>0.06520000000000015</v>
      </c>
      <c r="E37" s="100">
        <v>115</v>
      </c>
      <c r="F37" s="101">
        <v>247</v>
      </c>
      <c r="G37" s="101">
        <v>179</v>
      </c>
      <c r="H37" s="101">
        <v>16.45</v>
      </c>
      <c r="I37" s="102">
        <v>48.8</v>
      </c>
      <c r="J37" s="91"/>
      <c r="L37" s="29"/>
      <c r="M37" s="1">
        <v>16</v>
      </c>
      <c r="N37" s="39"/>
      <c r="O37" s="39"/>
      <c r="P37" s="39"/>
      <c r="Q37" s="39"/>
    </row>
    <row r="38" spans="1:17" ht="12.75">
      <c r="A38" s="94"/>
      <c r="B38"/>
      <c r="C38"/>
      <c r="D38"/>
      <c r="E38" s="100">
        <v>120</v>
      </c>
      <c r="F38" s="101">
        <v>242.5</v>
      </c>
      <c r="G38" s="101">
        <v>182</v>
      </c>
      <c r="H38" s="101">
        <v>38.06</v>
      </c>
      <c r="I38" s="102">
        <v>46.5</v>
      </c>
      <c r="J38" s="91"/>
      <c r="L38" s="29"/>
      <c r="M38" s="1">
        <v>17</v>
      </c>
      <c r="N38" s="39"/>
      <c r="O38" s="39"/>
      <c r="P38" s="39"/>
      <c r="Q38" s="39"/>
    </row>
    <row r="39" spans="1:17" ht="12.75">
      <c r="A39" s="94"/>
      <c r="B39" s="2" t="s">
        <v>66</v>
      </c>
      <c r="C39" s="2"/>
      <c r="D39" s="55"/>
      <c r="E39" s="92">
        <v>125</v>
      </c>
      <c r="F39" s="101">
        <v>282.8</v>
      </c>
      <c r="G39" s="101">
        <v>173</v>
      </c>
      <c r="H39" s="101">
        <v>51.14</v>
      </c>
      <c r="I39" s="102">
        <v>43.7</v>
      </c>
      <c r="J39" s="82"/>
      <c r="L39" s="29"/>
      <c r="M39" s="1">
        <v>18</v>
      </c>
      <c r="N39" s="39"/>
      <c r="O39" s="39"/>
      <c r="P39" s="39"/>
      <c r="Q39" s="39"/>
    </row>
    <row r="40" spans="1:17" ht="12.75">
      <c r="A40" s="80"/>
      <c r="B40" s="2" t="s">
        <v>67</v>
      </c>
      <c r="C40" s="2"/>
      <c r="D40" s="5"/>
      <c r="E40" s="92">
        <v>130</v>
      </c>
      <c r="F40" s="37"/>
      <c r="G40" s="37"/>
      <c r="H40" s="40"/>
      <c r="I40" s="41"/>
      <c r="J40" s="82"/>
      <c r="L40" s="29"/>
      <c r="M40" s="1">
        <v>19</v>
      </c>
      <c r="N40" s="39"/>
      <c r="O40" s="39"/>
      <c r="P40" s="39"/>
      <c r="Q40" s="39"/>
    </row>
    <row r="41" spans="1:17" ht="12.75">
      <c r="A41" s="29"/>
      <c r="B41" s="2" t="s">
        <v>68</v>
      </c>
      <c r="C41" s="2"/>
      <c r="D41" s="55"/>
      <c r="E41" s="92">
        <v>135</v>
      </c>
      <c r="F41" s="109" t="s">
        <v>76</v>
      </c>
      <c r="G41" s="110"/>
      <c r="H41" s="111"/>
      <c r="I41" s="112"/>
      <c r="J41" s="113"/>
      <c r="L41" s="29"/>
      <c r="M41" s="29"/>
      <c r="N41" s="29"/>
      <c r="O41" s="29"/>
      <c r="P41" s="29"/>
      <c r="Q41" s="29"/>
    </row>
    <row r="42" spans="1:17" ht="12.75">
      <c r="A42" s="94"/>
      <c r="B42" s="2" t="s">
        <v>67</v>
      </c>
      <c r="C42" s="2"/>
      <c r="D42" s="5"/>
      <c r="E42" s="92">
        <v>140</v>
      </c>
      <c r="F42" s="109" t="s">
        <v>77</v>
      </c>
      <c r="G42" s="110"/>
      <c r="H42" s="111"/>
      <c r="I42" s="112"/>
      <c r="J42" s="113"/>
      <c r="L42" s="29"/>
      <c r="M42" s="29"/>
      <c r="N42" s="29"/>
      <c r="O42" s="29"/>
      <c r="P42" s="29"/>
      <c r="Q42" s="29"/>
    </row>
    <row r="43" spans="1:17" ht="12.75">
      <c r="A43" s="94"/>
      <c r="B43"/>
      <c r="C43"/>
      <c r="D43"/>
      <c r="E43" s="92">
        <v>145</v>
      </c>
      <c r="F43" s="37"/>
      <c r="G43" s="37"/>
      <c r="H43" s="40"/>
      <c r="I43" s="41"/>
      <c r="J43" s="82"/>
      <c r="L43" s="29"/>
      <c r="M43" s="29"/>
      <c r="N43" s="29"/>
      <c r="O43" s="29"/>
      <c r="P43" s="29"/>
      <c r="Q43" s="29"/>
    </row>
    <row r="44" spans="1:12" ht="12.75">
      <c r="A44" s="29"/>
      <c r="B44"/>
      <c r="C44"/>
      <c r="D44"/>
      <c r="E44" s="92">
        <v>150</v>
      </c>
      <c r="F44" s="37"/>
      <c r="G44" s="37"/>
      <c r="H44" s="40"/>
      <c r="I44" s="41"/>
      <c r="J44" s="82"/>
      <c r="L44"/>
    </row>
    <row r="45" spans="1:12" ht="12.75">
      <c r="A45" s="29"/>
      <c r="B45"/>
      <c r="C45"/>
      <c r="D45"/>
      <c r="E45" s="92">
        <v>155</v>
      </c>
      <c r="F45" s="37"/>
      <c r="G45" s="37"/>
      <c r="H45" s="40"/>
      <c r="I45" s="41"/>
      <c r="J45" s="82"/>
      <c r="L45"/>
    </row>
    <row r="46" spans="1:12" ht="12.75">
      <c r="A46" s="29"/>
      <c r="B46"/>
      <c r="C46"/>
      <c r="D46"/>
      <c r="E46" s="92">
        <v>160</v>
      </c>
      <c r="F46" s="37"/>
      <c r="G46" s="37"/>
      <c r="H46" s="40"/>
      <c r="I46" s="41"/>
      <c r="J46" s="82"/>
      <c r="L46"/>
    </row>
    <row r="47" spans="1:12" ht="12.75">
      <c r="A47" s="29"/>
      <c r="E47" s="93">
        <v>165</v>
      </c>
      <c r="F47" s="42"/>
      <c r="G47" s="42"/>
      <c r="H47" s="43"/>
      <c r="I47" s="44"/>
      <c r="J47" s="83"/>
      <c r="L47"/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2008-01-16T15:56:30Z</dcterms:modified>
  <cp:category/>
  <cp:version/>
  <cp:contentType/>
  <cp:contentStatus/>
</cp:coreProperties>
</file>