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5390" activeTab="0"/>
  </bookViews>
  <sheets>
    <sheet name="HK-D01" sheetId="1" r:id="rId1"/>
  </sheets>
  <definedNames>
    <definedName name="ACwvu.Data." localSheetId="0" hidden="1">'HK-D01'!$A$1:$L$42</definedName>
    <definedName name="ACwvu.Fuel." localSheetId="0" hidden="1">'HK-D01'!$G$3:$L$9</definedName>
    <definedName name="ACwvu.Stats." localSheetId="0" hidden="1">'HK-D01'!$A$3:$C$25</definedName>
    <definedName name="Ambient" localSheetId="0">'HK-D01'!$L$4</definedName>
    <definedName name="Ambient">#REF!</definedName>
    <definedName name="AmbientTemperature" localSheetId="0">'HK-D01'!$S$9</definedName>
    <definedName name="AmbientTemperature">#REF!</definedName>
    <definedName name="AvCO" localSheetId="0">'HK-D01'!$C$12</definedName>
    <definedName name="AvCO">#REF!</definedName>
    <definedName name="AvMoisture" localSheetId="0">'HK-D01'!$C$4</definedName>
    <definedName name="AvMoisture">#REF!</definedName>
    <definedName name="AvO2" localSheetId="0">'HK-D01'!$C$11</definedName>
    <definedName name="AvO2">#REF!</definedName>
    <definedName name="AvStackTemp" localSheetId="0">'HK-D01'!$C$10</definedName>
    <definedName name="AvStackTemp">#REF!</definedName>
    <definedName name="BoilWaterLoss" localSheetId="0">'HK-D01'!$C$16</definedName>
    <definedName name="BoilWaterLoss">#REF!</definedName>
    <definedName name="BurnRateDry" localSheetId="0">'HK-D01'!$C$15</definedName>
    <definedName name="BurnRateDry">#REF!</definedName>
    <definedName name="Catch" localSheetId="0">'HK-D01'!$D$37</definedName>
    <definedName name="Catch">#REF!</definedName>
    <definedName name="Circumf" localSheetId="0">'HK-D01'!$R$22:$R$40</definedName>
    <definedName name="Circumf">#REF!</definedName>
    <definedName name="CleanControl" localSheetId="0">'HK-D01'!$B$34:$B$35</definedName>
    <definedName name="CleanControl">#REF!</definedName>
    <definedName name="CM" localSheetId="0">'HK-D01'!$J$14:$J$47</definedName>
    <definedName name="CM">#REF!</definedName>
    <definedName name="CO" localSheetId="0">'HK-D01'!$J$14:$J$47</definedName>
    <definedName name="CO">#REF!</definedName>
    <definedName name="COLoss" localSheetId="0">'HK-D01'!$C$17</definedName>
    <definedName name="COLoss">#REF!</definedName>
    <definedName name="CombEfficPartic" localSheetId="0">'HK-D01'!#REF!</definedName>
    <definedName name="CombEfficPartic">#REF!</definedName>
    <definedName name="CombustEffic" localSheetId="0">'HK-D01'!$C$23</definedName>
    <definedName name="CombustEffic">#REF!</definedName>
    <definedName name="COO" localSheetId="0">'HK-D01'!$K$14:$K$47</definedName>
    <definedName name="COO">#REF!</definedName>
    <definedName name="DATE" localSheetId="0">'HK-D01'!$S$7</definedName>
    <definedName name="DATE">#REF!</definedName>
    <definedName name="Density" localSheetId="0">'HK-D01'!$I$8</definedName>
    <definedName name="Density">#REF!</definedName>
    <definedName name="DilutionFactor" localSheetId="0">'HK-D01'!$C$14</definedName>
    <definedName name="DilutionFactor">#REF!</definedName>
    <definedName name="DirtyControl" localSheetId="0">'HK-D01'!$C$34:$C$35</definedName>
    <definedName name="DirtyControl">#REF!</definedName>
    <definedName name="DryGasLoss" localSheetId="0">'HK-D01'!$C$19</definedName>
    <definedName name="DryGasLoss">#REF!</definedName>
    <definedName name="FiltClean" localSheetId="0">'HK-D01'!$B$28:$B$33</definedName>
    <definedName name="FiltClean">#REF!</definedName>
    <definedName name="FiltDirty" localSheetId="0">'HK-D01'!$C$28:$C$33</definedName>
    <definedName name="FiltDirty">#REF!</definedName>
    <definedName name="FuelConfig" localSheetId="0">'HK-D01'!$Q$14:$S$18</definedName>
    <definedName name="FuelConfig">#REF!</definedName>
    <definedName name="FuelType">'HK-D01'!$P$14</definedName>
    <definedName name="g\kgCondar" localSheetId="0">'HK-D01'!$C$28</definedName>
    <definedName name="g\kgCondar">#REF!</definedName>
    <definedName name="gmKgCO" localSheetId="0">'HK-D01'!$C$22</definedName>
    <definedName name="gmKgCO">#REF!</definedName>
    <definedName name="gmKgCondar" localSheetId="0">'HK-D01'!$C$21</definedName>
    <definedName name="gmKgCondar">#REF!</definedName>
    <definedName name="gmKgM7" localSheetId="0">'HK-D01'!#REF!</definedName>
    <definedName name="gmKgM7">#REF!</definedName>
    <definedName name="HCLoss" localSheetId="0">'HK-D01'!$C$18</definedName>
    <definedName name="HCLoss">#REF!</definedName>
    <definedName name="HTransEffic" localSheetId="0">'HK-D01'!$C$24</definedName>
    <definedName name="HTransEffic">#REF!</definedName>
    <definedName name="KindlingWeight" localSheetId="0">'HK-D01'!$P$16</definedName>
    <definedName name="KindlingWeight">#REF!</definedName>
    <definedName name="Length" localSheetId="0">'HK-D01'!$S$22:$S$40</definedName>
    <definedName name="Length">#REF!</definedName>
    <definedName name="Moist" localSheetId="0">'HK-D01'!$C$4</definedName>
    <definedName name="Moist">#REF!</definedName>
    <definedName name="Moisture" localSheetId="0">'HK-D01'!$Q$22:$Q$40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'HK-D01'!$I$15:$I$47</definedName>
    <definedName name="Ocalc">#REF!</definedName>
    <definedName name="Odiff" localSheetId="0">'HK-D01'!$P$20:$Q$40</definedName>
    <definedName name="Odiff">#REF!</definedName>
    <definedName name="OO">#REF!</definedName>
    <definedName name="Oxy" localSheetId="0">'HK-D01'!$I$39:$I$47</definedName>
    <definedName name="Oxy">#REF!</definedName>
    <definedName name="PcNum" localSheetId="0">'HK-D01'!$O$22:$O$30</definedName>
    <definedName name="PcNum">#REF!</definedName>
    <definedName name="PcWt" localSheetId="0">'HK-D01'!$P$22:$P$40</definedName>
    <definedName name="PcWt">#REF!</definedName>
    <definedName name="_xlnm.Print_Area" localSheetId="0">'HK-D01'!$A$1:$L$42</definedName>
    <definedName name="RLength" localSheetId="0">'HK-D01'!$P$10</definedName>
    <definedName name="RLength">#REF!</definedName>
    <definedName name="RunLength" localSheetId="0">'HK-D01'!$C$9</definedName>
    <definedName name="RunLength">#REF!</definedName>
    <definedName name="RunNumber" localSheetId="0">'HK-D01'!$P$7</definedName>
    <definedName name="RunNumber">#REF!</definedName>
    <definedName name="SCRATCH" localSheetId="0">'HK-D01'!#REF!</definedName>
    <definedName name="SCRATCH">#REF!</definedName>
    <definedName name="ShapeFactor">#REF!</definedName>
    <definedName name="StackTemp" localSheetId="0">'HK-D01'!$H$14:$H$47</definedName>
    <definedName name="StackTemp">#REF!</definedName>
    <definedName name="StackTempFactor" localSheetId="0">'HK-D01'!$C$13</definedName>
    <definedName name="StackTempFactor">#REF!</definedName>
    <definedName name="StakTemp" localSheetId="0">'HK-D01'!$H$14:$H$47</definedName>
    <definedName name="StakTemp">#REF!</definedName>
    <definedName name="StartTime" localSheetId="0">'HK-D01'!$P$9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'HK-D01'!$A$1:$L$42</definedName>
    <definedName name="Swvu.Fuel." localSheetId="0" hidden="1">'HK-D01'!$G$3:$L$9</definedName>
    <definedName name="Swvu.Stats." localSheetId="0" hidden="1">'HK-D01'!$A$3:$C$25</definedName>
    <definedName name="System">#REF!</definedName>
    <definedName name="TimeSinceLast" localSheetId="0">'HK-D01'!$P$8</definedName>
    <definedName name="TimeSinceLast">#REF!</definedName>
    <definedName name="TypeFuel" localSheetId="0">'HK-D01'!$I$7</definedName>
    <definedName name="TypeFuel">#REF!</definedName>
    <definedName name="UnburnedFuel" localSheetId="0">'HK-D01'!$I$9</definedName>
    <definedName name="UnburnedFuel">#REF!</definedName>
    <definedName name="UnFuel" localSheetId="0">'HK-D01'!$P$17</definedName>
    <definedName name="UnFuel">#REF!</definedName>
    <definedName name="Weight" localSheetId="0">'HK-D01'!$P$22:$P$30</definedName>
    <definedName name="Weight">#REF!</definedName>
    <definedName name="wrn.PMReport." localSheetId="0" hidden="1">{"Data",#N/A,FALSE}</definedName>
    <definedName name="Wt_x_Mois" localSheetId="0">'HK-D01'!$S$22:$S$30</definedName>
    <definedName name="Wt_x_Mois">#REF!</definedName>
    <definedName name="WtFuel" localSheetId="0">'HK-D01'!$C$5</definedName>
    <definedName name="WtFuel">#REF!</definedName>
    <definedName name="WtKindl" localSheetId="0">'HK-D01'!$C$6</definedName>
    <definedName name="WtKindl">#REF!</definedName>
    <definedName name="WtMois" localSheetId="0">'HK-D01'!$P$22:$Q$30</definedName>
    <definedName name="WtMois">#REF!</definedName>
    <definedName name="wvu.Data." localSheetId="0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'HK-D01'!$D$37</definedName>
    <definedName name="Z_82D1A4AE_0247_49B8_BE51_9D95D0C0023D_.wvu.PrintArea" localSheetId="0" hidden="1">'HK-D01'!$D$37</definedName>
    <definedName name="Z_A894F482_78CE_424F_A012_76D0D845968F_.wvu.PrintArea" localSheetId="0" hidden="1">'HK-D01'!$D$37</definedName>
  </definedNames>
  <calcPr fullCalcOnLoad="1"/>
</workbook>
</file>

<file path=xl/comments1.xml><?xml version="1.0" encoding="utf-8"?>
<comments xmlns="http://schemas.openxmlformats.org/spreadsheetml/2006/main">
  <authors>
    <author>Norbert Senf</author>
  </authors>
  <commentList>
    <comment ref="G14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0: bells closed. Whole pile catches at bottom.
Pieces 1 and 4 reversed</t>
        </r>
      </text>
    </comment>
    <comment ref="G15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6: very brisk start. Fine kindling
7: pile catches
8: close bells</t>
        </r>
      </text>
    </comment>
    <comment ref="G17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15: kindling fading out</t>
        </r>
      </text>
    </comment>
    <comment ref="G20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34: close AB door</t>
        </r>
      </text>
    </comment>
    <comment ref="G22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43: open AB door
CO goes down, efficiency goes up</t>
        </r>
      </text>
    </comment>
    <comment ref="G25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54: poke
</t>
        </r>
      </text>
    </comment>
    <comment ref="G28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71: collapse</t>
        </r>
      </text>
    </comment>
    <comment ref="G30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83: close AB door</t>
        </r>
      </text>
    </comment>
    <comment ref="G31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86: change probe filter</t>
        </r>
      </text>
    </comment>
    <comment ref="G32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90: poke
92: pull Condar filters</t>
        </r>
      </text>
    </comment>
    <comment ref="G34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100: change probe filter
104: poke</t>
        </r>
      </text>
    </comment>
    <comment ref="G35" authorId="0">
      <text>
        <r>
          <rPr>
            <b/>
            <sz val="8"/>
            <rFont val="Tahoma"/>
            <family val="0"/>
          </rPr>
          <t>Norbert Senf:</t>
        </r>
        <r>
          <rPr>
            <sz val="8"/>
            <rFont val="Tahoma"/>
            <family val="0"/>
          </rPr>
          <t xml:space="preserve">
109: close air
</t>
        </r>
      </text>
    </comment>
  </commentList>
</comments>
</file>

<file path=xl/sharedStrings.xml><?xml version="1.0" encoding="utf-8"?>
<sst xmlns="http://schemas.openxmlformats.org/spreadsheetml/2006/main" count="95" uniqueCount="87">
  <si>
    <t>LOPEZ LABS EMISSIONS TEST DATA FORM</t>
  </si>
  <si>
    <t>DATA INPUT SCREEN:</t>
  </si>
  <si>
    <t>Instructions:</t>
  </si>
  <si>
    <t>Enter data only into fields that are</t>
  </si>
  <si>
    <t>RUN No.</t>
  </si>
  <si>
    <t>DATE</t>
  </si>
  <si>
    <t>shaded like this box</t>
  </si>
  <si>
    <t>Wood Moisture................</t>
  </si>
  <si>
    <t>Time since last burn</t>
  </si>
  <si>
    <t>Ambient Temperature</t>
  </si>
  <si>
    <t>Slide graph over when done and start test</t>
  </si>
  <si>
    <t>Total Weight.....................</t>
  </si>
  <si>
    <t>Start Time</t>
  </si>
  <si>
    <t>Weather</t>
  </si>
  <si>
    <t>GENERAL</t>
  </si>
  <si>
    <t>Kindling Weight................</t>
  </si>
  <si>
    <t>FUELING</t>
  </si>
  <si>
    <t>Number of Pieces...........</t>
  </si>
  <si>
    <t>Fuel Type..........................</t>
  </si>
  <si>
    <t xml:space="preserve"> Fuel Surface/Vol.............</t>
  </si>
  <si>
    <t>Fuel Density......................</t>
  </si>
  <si>
    <t>Run Length........................</t>
  </si>
  <si>
    <t>Unburned Fuel.................</t>
  </si>
  <si>
    <t>Av. Stack Temp...............</t>
  </si>
  <si>
    <t>Av. O2%..............................</t>
  </si>
  <si>
    <t>Av. CO%.............................</t>
  </si>
  <si>
    <t>GAS DATA INPUT</t>
  </si>
  <si>
    <t>Fuel Configuration:</t>
  </si>
  <si>
    <t>Stack Temp. Factor........</t>
  </si>
  <si>
    <t>Time</t>
  </si>
  <si>
    <t>StackTemp</t>
  </si>
  <si>
    <t>O2% x10</t>
  </si>
  <si>
    <t>CO% x1000</t>
  </si>
  <si>
    <t>CO2% x10</t>
  </si>
  <si>
    <t>Fuel Type</t>
  </si>
  <si>
    <t>Stack Dilution Factor......</t>
  </si>
  <si>
    <t>Burn Rate  dry kg/hr........</t>
  </si>
  <si>
    <t>Kindling Weight</t>
  </si>
  <si>
    <t>Boiling of Water Loss.....</t>
  </si>
  <si>
    <t>Unburned Fuel</t>
  </si>
  <si>
    <t>CO Loss %.........................</t>
  </si>
  <si>
    <t>HC Loss %.........................</t>
  </si>
  <si>
    <t>Dry Gas Loss %...............</t>
  </si>
  <si>
    <t>DETAILED FUEL INFORMATION</t>
  </si>
  <si>
    <t>Filter Catch gm.</t>
  </si>
  <si>
    <t>Piece #</t>
  </si>
  <si>
    <t>Weight</t>
  </si>
  <si>
    <t>Moisture</t>
  </si>
  <si>
    <t>Circumf</t>
  </si>
  <si>
    <t>Length</t>
  </si>
  <si>
    <t>g/kg    Condar...................</t>
  </si>
  <si>
    <t>g/kg    CO...........................</t>
  </si>
  <si>
    <t>Combustion Effic..............</t>
  </si>
  <si>
    <t>Heat Trans. Effic..............</t>
  </si>
  <si>
    <t>Overall Efficiency............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</si>
  <si>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</si>
  <si>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</si>
  <si>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</si>
  <si>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</si>
  <si>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</si>
  <si>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</si>
  <si>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</si>
  <si>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</si>
  <si>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</si>
  <si>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</si>
  <si>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</si>
  <si>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Batch Wt. Clean</t>
  </si>
  <si>
    <t>Add Individual</t>
  </si>
  <si>
    <t>Batch Wt. Dirty</t>
  </si>
  <si>
    <t>HEATER ID</t>
  </si>
  <si>
    <t>Heater ID</t>
  </si>
  <si>
    <t>whBirch</t>
  </si>
  <si>
    <t>HK</t>
  </si>
  <si>
    <t>Shape</t>
  </si>
  <si>
    <t>Shape key:</t>
  </si>
  <si>
    <t>round</t>
  </si>
  <si>
    <t>half</t>
  </si>
  <si>
    <t>quarter</t>
  </si>
  <si>
    <t>smaller than quarter</t>
  </si>
  <si>
    <t>Revised Feb 2/08</t>
  </si>
  <si>
    <t>10F</t>
  </si>
  <si>
    <t>HKJ-24</t>
  </si>
  <si>
    <t>clear</t>
  </si>
  <si>
    <t>pc 1 and 4 reversed</t>
  </si>
  <si>
    <t>fine kindling</t>
  </si>
  <si>
    <t>RH</t>
  </si>
  <si>
    <t>cold fuel 0F - Fbx = 143F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</si>
</sst>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"/>
    <numFmt numFmtId="174" formatCode="0.00_)"/>
  </numFmts>
  <fonts count="1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2"/>
      <name val="Helv"/>
      <family val="0"/>
    </font>
    <font>
      <sz val="11"/>
      <name val="Arial"/>
      <family val="0"/>
    </font>
    <font>
      <sz val="8"/>
      <name val="Helv"/>
      <family val="0"/>
    </font>
    <font>
      <sz val="10"/>
      <color indexed="10"/>
      <name val="Helv"/>
      <family val="0"/>
    </font>
    <font>
      <b/>
      <sz val="14"/>
      <color indexed="10"/>
      <name val="Helv"/>
      <family val="0"/>
    </font>
    <font>
      <b/>
      <sz val="14"/>
      <name val="Arial"/>
      <family val="2"/>
    </font>
    <font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Helv"/>
      <family val="2"/>
    </font>
  </fonts>
  <fills count="10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 applyNumberFormat="0" applyFon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4" fillId="0" borderId="0">
      <alignment/>
      <protection/>
    </xf>
    <xf numFmtId="1" fontId="4" fillId="0" borderId="0">
      <alignment/>
      <protection/>
    </xf>
  </cellStyleXfs>
  <cellXfs count="1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17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3" fontId="4" fillId="0" borderId="1" xfId="0" applyNumberFormat="1" applyFont="1" applyBorder="1" applyAlignment="1">
      <alignment horizontal="center"/>
    </xf>
    <xf numFmtId="173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4" fillId="0" borderId="8" xfId="0" applyNumberFormat="1" applyFont="1" applyBorder="1" applyAlignment="1">
      <alignment horizontal="center"/>
    </xf>
    <xf numFmtId="173" fontId="4" fillId="0" borderId="8" xfId="0" applyNumberFormat="1" applyFont="1" applyBorder="1" applyAlignment="1">
      <alignment horizontal="center"/>
    </xf>
    <xf numFmtId="173" fontId="4" fillId="0" borderId="5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20" fontId="4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8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/>
    </xf>
    <xf numFmtId="0" fontId="9" fillId="0" borderId="0" xfId="0" applyFont="1" applyAlignment="1">
      <alignment horizontal="centerContinuous"/>
    </xf>
    <xf numFmtId="0" fontId="6" fillId="0" borderId="9" xfId="0" applyFont="1" applyBorder="1" applyAlignment="1">
      <alignment horizontal="left"/>
    </xf>
    <xf numFmtId="0" fontId="4" fillId="3" borderId="0" xfId="0" applyFont="1" applyFill="1" applyAlignment="1">
      <alignment/>
    </xf>
    <xf numFmtId="49" fontId="4" fillId="0" borderId="0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1" fontId="4" fillId="4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172" fontId="4" fillId="4" borderId="0" xfId="0" applyNumberFormat="1" applyFont="1" applyFill="1" applyBorder="1" applyAlignment="1">
      <alignment horizontal="center"/>
    </xf>
    <xf numFmtId="172" fontId="4" fillId="5" borderId="0" xfId="0" applyNumberFormat="1" applyFont="1" applyFill="1" applyBorder="1" applyAlignment="1">
      <alignment horizontal="center"/>
    </xf>
    <xf numFmtId="1" fontId="4" fillId="6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172" fontId="4" fillId="6" borderId="0" xfId="0" applyNumberFormat="1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172" fontId="4" fillId="7" borderId="0" xfId="0" applyNumberFormat="1" applyFont="1" applyFill="1" applyBorder="1" applyAlignment="1">
      <alignment horizontal="center"/>
    </xf>
    <xf numFmtId="1" fontId="4" fillId="7" borderId="6" xfId="0" applyNumberFormat="1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172" fontId="4" fillId="7" borderId="6" xfId="0" applyNumberFormat="1" applyFont="1" applyFill="1" applyBorder="1" applyAlignment="1">
      <alignment horizontal="center"/>
    </xf>
    <xf numFmtId="0" fontId="0" fillId="8" borderId="0" xfId="0" applyFill="1" applyAlignment="1">
      <alignment/>
    </xf>
    <xf numFmtId="173" fontId="9" fillId="6" borderId="3" xfId="0" applyNumberFormat="1" applyFont="1" applyFill="1" applyBorder="1" applyAlignment="1">
      <alignment horizontal="left"/>
    </xf>
    <xf numFmtId="173" fontId="4" fillId="6" borderId="4" xfId="0" applyNumberFormat="1" applyFont="1" applyFill="1" applyBorder="1" applyAlignment="1">
      <alignment horizontal="center"/>
    </xf>
    <xf numFmtId="173" fontId="4" fillId="6" borderId="11" xfId="0" applyNumberFormat="1" applyFont="1" applyFill="1" applyBorder="1" applyAlignment="1">
      <alignment horizontal="center"/>
    </xf>
    <xf numFmtId="173" fontId="9" fillId="6" borderId="5" xfId="0" applyNumberFormat="1" applyFont="1" applyFill="1" applyBorder="1" applyAlignment="1">
      <alignment horizontal="left"/>
    </xf>
    <xf numFmtId="173" fontId="4" fillId="6" borderId="6" xfId="0" applyNumberFormat="1" applyFont="1" applyFill="1" applyBorder="1" applyAlignment="1">
      <alignment horizontal="center"/>
    </xf>
    <xf numFmtId="173" fontId="4" fillId="6" borderId="12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173" fontId="4" fillId="6" borderId="0" xfId="0" applyNumberFormat="1" applyFont="1" applyFill="1" applyBorder="1" applyAlignment="1">
      <alignment horizontal="left"/>
    </xf>
    <xf numFmtId="173" fontId="4" fillId="6" borderId="0" xfId="0" applyNumberFormat="1" applyFont="1" applyFill="1" applyBorder="1" applyAlignment="1">
      <alignment horizontal="center"/>
    </xf>
    <xf numFmtId="172" fontId="4" fillId="6" borderId="9" xfId="0" applyNumberFormat="1" applyFont="1" applyFill="1" applyBorder="1" applyAlignment="1">
      <alignment horizontal="center"/>
    </xf>
    <xf numFmtId="173" fontId="4" fillId="6" borderId="8" xfId="0" applyNumberFormat="1" applyFont="1" applyFill="1" applyBorder="1" applyAlignment="1">
      <alignment horizontal="left"/>
    </xf>
    <xf numFmtId="173" fontId="4" fillId="6" borderId="13" xfId="0" applyNumberFormat="1" applyFont="1" applyFill="1" applyBorder="1" applyAlignment="1">
      <alignment horizontal="left"/>
    </xf>
    <xf numFmtId="173" fontId="4" fillId="6" borderId="5" xfId="0" applyNumberFormat="1" applyFont="1" applyFill="1" applyBorder="1" applyAlignment="1">
      <alignment horizontal="left"/>
    </xf>
    <xf numFmtId="173" fontId="4" fillId="6" borderId="6" xfId="0" applyNumberFormat="1" applyFont="1" applyFill="1" applyBorder="1" applyAlignment="1">
      <alignment horizontal="left"/>
    </xf>
    <xf numFmtId="173" fontId="4" fillId="6" borderId="12" xfId="0" applyNumberFormat="1" applyFont="1" applyFill="1" applyBorder="1" applyAlignment="1">
      <alignment horizontal="left"/>
    </xf>
    <xf numFmtId="0" fontId="4" fillId="0" borderId="8" xfId="0" applyFont="1" applyBorder="1" applyAlignment="1">
      <alignment/>
    </xf>
    <xf numFmtId="0" fontId="4" fillId="0" borderId="13" xfId="0" applyFont="1" applyBorder="1" applyAlignment="1">
      <alignment/>
    </xf>
    <xf numFmtId="0" fontId="4" fillId="7" borderId="14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6" fillId="9" borderId="4" xfId="0" applyFont="1" applyFill="1" applyBorder="1" applyAlignment="1">
      <alignment/>
    </xf>
    <xf numFmtId="2" fontId="6" fillId="9" borderId="11" xfId="0" applyNumberFormat="1" applyFont="1" applyFill="1" applyBorder="1" applyAlignment="1">
      <alignment horizontal="center"/>
    </xf>
    <xf numFmtId="0" fontId="6" fillId="9" borderId="8" xfId="0" applyFont="1" applyFill="1" applyBorder="1" applyAlignment="1">
      <alignment/>
    </xf>
    <xf numFmtId="0" fontId="4" fillId="9" borderId="0" xfId="0" applyFont="1" applyFill="1" applyBorder="1" applyAlignment="1">
      <alignment/>
    </xf>
    <xf numFmtId="2" fontId="6" fillId="9" borderId="13" xfId="0" applyNumberFormat="1" applyFont="1" applyFill="1" applyBorder="1" applyAlignment="1">
      <alignment horizontal="center"/>
    </xf>
    <xf numFmtId="0" fontId="6" fillId="9" borderId="0" xfId="0" applyFont="1" applyFill="1" applyBorder="1" applyAlignment="1">
      <alignment/>
    </xf>
    <xf numFmtId="0" fontId="6" fillId="9" borderId="5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2" fontId="6" fillId="9" borderId="12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 applyProtection="1">
      <alignment horizontal="center"/>
      <protection/>
    </xf>
    <xf numFmtId="173" fontId="4" fillId="4" borderId="0" xfId="0" applyNumberFormat="1" applyFont="1" applyFill="1" applyBorder="1" applyAlignment="1">
      <alignment horizontal="left"/>
    </xf>
    <xf numFmtId="173" fontId="4" fillId="4" borderId="0" xfId="0" applyNumberFormat="1" applyFont="1" applyFill="1" applyBorder="1" applyAlignment="1">
      <alignment horizontal="center"/>
    </xf>
    <xf numFmtId="20" fontId="4" fillId="6" borderId="0" xfId="0" applyNumberFormat="1" applyFont="1" applyFill="1" applyBorder="1" applyAlignment="1">
      <alignment horizontal="center"/>
    </xf>
    <xf numFmtId="14" fontId="4" fillId="6" borderId="0" xfId="0" applyNumberFormat="1" applyFont="1" applyFill="1" applyBorder="1" applyAlignment="1">
      <alignment horizontal="center"/>
    </xf>
    <xf numFmtId="173" fontId="4" fillId="0" borderId="7" xfId="0" applyNumberFormat="1" applyFont="1" applyBorder="1" applyAlignment="1">
      <alignment horizontal="left"/>
    </xf>
    <xf numFmtId="0" fontId="4" fillId="3" borderId="0" xfId="0" applyFont="1" applyFill="1" applyBorder="1" applyAlignment="1">
      <alignment/>
    </xf>
    <xf numFmtId="173" fontId="4" fillId="0" borderId="6" xfId="0" applyNumberFormat="1" applyFont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14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7" borderId="11" xfId="0" applyFill="1" applyBorder="1" applyAlignment="1">
      <alignment/>
    </xf>
    <xf numFmtId="1" fontId="4" fillId="7" borderId="13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3" borderId="0" xfId="0" applyFill="1" applyAlignment="1">
      <alignment/>
    </xf>
    <xf numFmtId="49" fontId="4" fillId="3" borderId="0" xfId="0" applyNumberFormat="1" applyFont="1" applyFill="1" applyBorder="1" applyAlignment="1">
      <alignment/>
    </xf>
    <xf numFmtId="173" fontId="4" fillId="3" borderId="0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1" fontId="4" fillId="0" borderId="0" xfId="19">
      <alignment/>
      <protection/>
    </xf>
    <xf numFmtId="1" fontId="4" fillId="0" borderId="0" xfId="18" applyFont="1">
      <alignment/>
      <protection/>
    </xf>
    <xf numFmtId="1" fontId="4" fillId="0" borderId="0" xfId="19" applyFont="1">
      <alignment/>
      <protection/>
    </xf>
    <xf numFmtId="1" fontId="4" fillId="0" borderId="10" xfId="0" applyNumberFormat="1" applyFont="1" applyFill="1" applyBorder="1" applyAlignment="1">
      <alignment horizontal="center"/>
    </xf>
    <xf numFmtId="1" fontId="4" fillId="6" borderId="0" xfId="0" applyNumberFormat="1" applyFont="1" applyFill="1" applyBorder="1" applyAlignment="1">
      <alignment horizontal="left"/>
    </xf>
    <xf numFmtId="1" fontId="4" fillId="0" borderId="10" xfId="0" applyNumberFormat="1" applyFont="1" applyBorder="1" applyAlignment="1">
      <alignment horizontal="centerContinuous"/>
    </xf>
    <xf numFmtId="1" fontId="4" fillId="3" borderId="0" xfId="0" applyNumberFormat="1" applyFont="1" applyFill="1" applyAlignment="1">
      <alignment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10" xfId="0" applyFont="1" applyBorder="1" applyAlignment="1">
      <alignment horizontal="center"/>
    </xf>
  </cellXfs>
  <cellStyles count="6">
    <cellStyle name="Normal" xfId="0"/>
    <cellStyle name="Comma" xfId="15"/>
    <cellStyle name="Currency" xfId="16"/>
    <cellStyle name="Percent" xfId="17"/>
    <cellStyle name="Style10" xfId="18"/>
    <cellStyle name="Style7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3575"/>
          <c:w val="0.94725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'HK-D01'!$H$13</c:f>
              <c:strCache>
                <c:ptCount val="1"/>
                <c:pt idx="0">
                  <c:v>StackTemp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'HK-D01'!$G$14:$G$38</c:f>
              <c:numCach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cat>
          <c:val>
            <c:numRef>
              <c:f>'HK-D01'!$H$14:$H$38</c:f>
              <c:numCache>
                <c:ptCount val="25"/>
                <c:pt idx="0">
                  <c:v>116.2</c:v>
                </c:pt>
                <c:pt idx="1">
                  <c:v>212.4</c:v>
                </c:pt>
                <c:pt idx="2">
                  <c:v>239.7</c:v>
                </c:pt>
                <c:pt idx="3">
                  <c:v>250.1</c:v>
                </c:pt>
                <c:pt idx="4">
                  <c:v>249.7</c:v>
                </c:pt>
                <c:pt idx="5">
                  <c:v>261.6</c:v>
                </c:pt>
                <c:pt idx="6">
                  <c:v>286.8</c:v>
                </c:pt>
                <c:pt idx="7">
                  <c:v>269.8</c:v>
                </c:pt>
                <c:pt idx="8">
                  <c:v>296.9</c:v>
                </c:pt>
                <c:pt idx="9">
                  <c:v>305.6</c:v>
                </c:pt>
                <c:pt idx="10">
                  <c:v>278</c:v>
                </c:pt>
                <c:pt idx="11">
                  <c:v>282</c:v>
                </c:pt>
                <c:pt idx="12">
                  <c:v>282.9</c:v>
                </c:pt>
                <c:pt idx="13">
                  <c:v>287.4</c:v>
                </c:pt>
                <c:pt idx="14">
                  <c:v>286.4</c:v>
                </c:pt>
                <c:pt idx="15">
                  <c:v>289.4</c:v>
                </c:pt>
                <c:pt idx="16">
                  <c:v>291</c:v>
                </c:pt>
                <c:pt idx="17">
                  <c:v>275.9</c:v>
                </c:pt>
                <c:pt idx="18">
                  <c:v>270.6</c:v>
                </c:pt>
                <c:pt idx="19">
                  <c:v>266.7</c:v>
                </c:pt>
                <c:pt idx="20">
                  <c:v>263.7</c:v>
                </c:pt>
                <c:pt idx="21">
                  <c:v>262.8</c:v>
                </c:pt>
                <c:pt idx="22">
                  <c:v>261.6</c:v>
                </c:pt>
                <c:pt idx="23">
                  <c:v>254.8</c:v>
                </c:pt>
                <c:pt idx="24">
                  <c:v>279.7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'HK-D01'!$J$13</c:f>
              <c:strCache>
                <c:ptCount val="1"/>
                <c:pt idx="0">
                  <c:v>CO% x1000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'HK-D01'!$G$14:$G$38</c:f>
              <c:numCach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cat>
          <c:val>
            <c:numRef>
              <c:f>'HK-D01'!$J$14:$J$38</c:f>
              <c:numCache>
                <c:ptCount val="25"/>
                <c:pt idx="0">
                  <c:v>0</c:v>
                </c:pt>
                <c:pt idx="1">
                  <c:v>7.73</c:v>
                </c:pt>
                <c:pt idx="2">
                  <c:v>10.99</c:v>
                </c:pt>
                <c:pt idx="3">
                  <c:v>18.76</c:v>
                </c:pt>
                <c:pt idx="4">
                  <c:v>38.82</c:v>
                </c:pt>
                <c:pt idx="5">
                  <c:v>47.48</c:v>
                </c:pt>
                <c:pt idx="6">
                  <c:v>32.04</c:v>
                </c:pt>
                <c:pt idx="7">
                  <c:v>25.14</c:v>
                </c:pt>
                <c:pt idx="8">
                  <c:v>19.61</c:v>
                </c:pt>
                <c:pt idx="9">
                  <c:v>15.24</c:v>
                </c:pt>
                <c:pt idx="10">
                  <c:v>15.08</c:v>
                </c:pt>
                <c:pt idx="11">
                  <c:v>12.24</c:v>
                </c:pt>
                <c:pt idx="12">
                  <c:v>13.09</c:v>
                </c:pt>
                <c:pt idx="13">
                  <c:v>12.99</c:v>
                </c:pt>
                <c:pt idx="14">
                  <c:v>11.9</c:v>
                </c:pt>
                <c:pt idx="15">
                  <c:v>12.97</c:v>
                </c:pt>
                <c:pt idx="16">
                  <c:v>13.57</c:v>
                </c:pt>
                <c:pt idx="17">
                  <c:v>14.19</c:v>
                </c:pt>
                <c:pt idx="18">
                  <c:v>4.58</c:v>
                </c:pt>
                <c:pt idx="19">
                  <c:v>15.76</c:v>
                </c:pt>
                <c:pt idx="20">
                  <c:v>16.71</c:v>
                </c:pt>
                <c:pt idx="21">
                  <c:v>8.52</c:v>
                </c:pt>
                <c:pt idx="22">
                  <c:v>12.18</c:v>
                </c:pt>
                <c:pt idx="23">
                  <c:v>38.68</c:v>
                </c:pt>
                <c:pt idx="24">
                  <c:v>59.81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'HK-D01'!$K$13</c:f>
              <c:strCache>
                <c:ptCount val="1"/>
                <c:pt idx="0">
                  <c:v>CO2% x10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'HK-D01'!$G$14:$G$38</c:f>
              <c:numCach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cat>
          <c:val>
            <c:numRef>
              <c:f>'HK-D01'!$K$14:$K$38</c:f>
              <c:numCache>
                <c:ptCount val="25"/>
              </c:numCache>
            </c:numRef>
          </c:val>
          <c:smooth val="0"/>
        </c:ser>
        <c:ser>
          <c:idx val="3"/>
          <c:order val="3"/>
          <c:tx>
            <c:strRef>
              <c:f>'HK-D01'!$L$13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'HK-D01'!$G$14:$G$38</c:f>
              <c:numCache>
                <c:ptCount val="2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</c:numCache>
            </c:numRef>
          </c:cat>
          <c:val>
            <c:numRef>
              <c:f>'HK-D01'!$L$14:$L$38</c:f>
              <c:numCache>
                <c:ptCount val="25"/>
              </c:numCache>
            </c:numRef>
          </c:val>
          <c:smooth val="0"/>
        </c:ser>
        <c:marker val="1"/>
        <c:axId val="16621332"/>
        <c:axId val="15374261"/>
      </c:lineChart>
      <c:catAx>
        <c:axId val="16621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15374261"/>
        <c:crosses val="autoZero"/>
        <c:auto val="0"/>
        <c:lblOffset val="100"/>
        <c:tickLblSkip val="2"/>
        <c:noMultiLvlLbl val="0"/>
      </c:catAx>
      <c:valAx>
        <c:axId val="15374261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16621332"/>
        <c:crossesAt val="1"/>
        <c:crossBetween val="midCat"/>
        <c:dispUnits/>
        <c:majorUnit val="50"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104775</xdr:colOff>
      <xdr:row>0</xdr:row>
      <xdr:rowOff>142875</xdr:rowOff>
    </xdr:from>
    <xdr:to>
      <xdr:col>25</xdr:col>
      <xdr:colOff>447675</xdr:colOff>
      <xdr:row>17</xdr:row>
      <xdr:rowOff>57150</xdr:rowOff>
    </xdr:to>
    <xdr:graphicFrame>
      <xdr:nvGraphicFramePr>
        <xdr:cNvPr id="1" name="Chart 5"/>
        <xdr:cNvGraphicFramePr/>
      </xdr:nvGraphicFramePr>
      <xdr:xfrm>
        <a:off x="11820525" y="142875"/>
        <a:ext cx="40005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5"/>
  <sheetViews>
    <sheetView tabSelected="1" workbookViewId="0" topLeftCell="A1">
      <selection activeCell="C3" sqref="C3"/>
    </sheetView>
  </sheetViews>
  <sheetFormatPr defaultColWidth="9.140625" defaultRowHeight="12.75" outlineLevelRow="1" outlineLevelCol="1"/>
  <cols>
    <col min="1" max="6" width="9.140625" style="1" customWidth="1" outlineLevel="1"/>
    <col min="7" max="9" width="9.140625" style="1" customWidth="1"/>
    <col min="10" max="11" width="9.57421875" style="1" customWidth="1"/>
    <col min="12" max="12" width="10.28125" style="1" bestFit="1" customWidth="1"/>
    <col min="13" max="16384" width="9.140625" style="1" customWidth="1"/>
  </cols>
  <sheetData>
    <row r="1" spans="1:19" ht="18" customHeight="1" outlineLevel="1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6"/>
      <c r="M1" s="2"/>
      <c r="N1" s="114" t="s">
        <v>1</v>
      </c>
      <c r="O1" s="115"/>
      <c r="P1" s="115"/>
      <c r="Q1" s="115"/>
      <c r="R1" s="115"/>
      <c r="S1" s="116"/>
    </row>
    <row r="2" spans="1:23" ht="15.75" outlineLevel="1">
      <c r="A2" s="1" t="s">
        <v>79</v>
      </c>
      <c r="C2" s="29"/>
      <c r="D2" s="29"/>
      <c r="E2" s="29"/>
      <c r="F2" s="29"/>
      <c r="G2" s="29"/>
      <c r="H2" s="29"/>
      <c r="I2" s="29"/>
      <c r="J2" s="2"/>
      <c r="K2" s="2"/>
      <c r="L2" s="2"/>
      <c r="M2"/>
      <c r="N2" s="29"/>
      <c r="O2" s="29"/>
      <c r="P2" s="29"/>
      <c r="Q2" s="29"/>
      <c r="R2" s="29"/>
      <c r="S2" s="29"/>
      <c r="T2"/>
      <c r="U2" s="17"/>
      <c r="V2" s="17"/>
      <c r="W2" s="17"/>
    </row>
    <row r="3" spans="1:19" ht="18" outlineLevel="1">
      <c r="A3" s="28" t="s">
        <v>4</v>
      </c>
      <c r="B3" s="26"/>
      <c r="C3" s="107" t="str">
        <f>RunNumber</f>
        <v>HKJ-24</v>
      </c>
      <c r="D3" s="29"/>
      <c r="E3" s="29"/>
      <c r="F3" s="29"/>
      <c r="G3" s="23" t="s">
        <v>70</v>
      </c>
      <c r="H3" s="82" t="str">
        <f>S8</f>
        <v>HK</v>
      </c>
      <c r="I3" s="13"/>
      <c r="J3" s="13" t="s">
        <v>5</v>
      </c>
      <c r="K3" s="25"/>
      <c r="L3" s="101">
        <f>DATE</f>
        <v>39494</v>
      </c>
      <c r="M3"/>
      <c r="N3" s="53" t="s">
        <v>2</v>
      </c>
      <c r="O3" s="52"/>
      <c r="P3" s="46" t="s">
        <v>3</v>
      </c>
      <c r="Q3" s="47"/>
      <c r="R3" s="47"/>
      <c r="S3" s="48"/>
    </row>
    <row r="4" spans="1:19" ht="14.25" outlineLevel="1">
      <c r="A4" s="65" t="s">
        <v>7</v>
      </c>
      <c r="B4" s="65"/>
      <c r="C4" s="34">
        <f>AVERAGE(Moisture)</f>
        <v>20</v>
      </c>
      <c r="D4" s="29"/>
      <c r="E4" s="29"/>
      <c r="F4" s="29"/>
      <c r="G4" s="2" t="s">
        <v>8</v>
      </c>
      <c r="H4" s="2"/>
      <c r="I4" s="6">
        <f>TimeSinceLast</f>
        <v>24</v>
      </c>
      <c r="J4" s="19" t="s">
        <v>9</v>
      </c>
      <c r="K4" s="2"/>
      <c r="L4" s="6" t="str">
        <f>AmbientTemperature</f>
        <v>10F</v>
      </c>
      <c r="M4"/>
      <c r="N4" s="29"/>
      <c r="O4" s="29"/>
      <c r="P4" s="49" t="s">
        <v>6</v>
      </c>
      <c r="Q4" s="50"/>
      <c r="R4" s="50"/>
      <c r="S4" s="51"/>
    </row>
    <row r="5" spans="1:19" ht="12.75" outlineLevel="1">
      <c r="A5" s="65" t="s">
        <v>11</v>
      </c>
      <c r="B5" s="65"/>
      <c r="C5" s="34">
        <f>SUM(PcWt)+WtKindl-UnburnedFuel</f>
        <v>61.3</v>
      </c>
      <c r="D5" s="29"/>
      <c r="E5" s="29"/>
      <c r="F5" s="29"/>
      <c r="G5" s="2" t="s">
        <v>12</v>
      </c>
      <c r="H5" s="20"/>
      <c r="I5" s="18">
        <f>(StartTime)</f>
        <v>0.7152777777777778</v>
      </c>
      <c r="J5" s="19"/>
      <c r="K5" s="21"/>
      <c r="L5" s="21"/>
      <c r="M5"/>
      <c r="N5" s="29"/>
      <c r="O5" s="29"/>
      <c r="P5" s="91" t="s">
        <v>10</v>
      </c>
      <c r="Q5" s="52"/>
      <c r="R5" s="52"/>
      <c r="S5" s="52"/>
    </row>
    <row r="6" spans="1:19" ht="12.75" outlineLevel="1">
      <c r="A6" s="65" t="s">
        <v>15</v>
      </c>
      <c r="B6" s="65"/>
      <c r="C6" s="33">
        <f>KindlingWeight</f>
        <v>4.5</v>
      </c>
      <c r="D6" s="29"/>
      <c r="E6" s="29"/>
      <c r="F6" s="29"/>
      <c r="G6" s="23" t="s">
        <v>16</v>
      </c>
      <c r="H6" s="13"/>
      <c r="I6" s="13"/>
      <c r="J6" s="13"/>
      <c r="K6" s="13"/>
      <c r="L6" s="24"/>
      <c r="M6"/>
      <c r="N6" s="111" t="s">
        <v>14</v>
      </c>
      <c r="O6" s="112"/>
      <c r="P6" s="112"/>
      <c r="Q6" s="112"/>
      <c r="R6" s="112"/>
      <c r="S6" s="113"/>
    </row>
    <row r="7" spans="1:19" ht="12.75" outlineLevel="1">
      <c r="A7" s="65" t="s">
        <v>17</v>
      </c>
      <c r="B7" s="65"/>
      <c r="C7" s="33">
        <f>COUNT(PcWt)</f>
        <v>8</v>
      </c>
      <c r="D7" s="29"/>
      <c r="E7" s="29"/>
      <c r="F7" s="29"/>
      <c r="G7" s="2" t="s">
        <v>18</v>
      </c>
      <c r="H7" s="2"/>
      <c r="I7" s="6"/>
      <c r="J7" s="1" t="str">
        <f>FuelType</f>
        <v>whBirch</v>
      </c>
      <c r="K7" s="30"/>
      <c r="L7" s="30"/>
      <c r="M7"/>
      <c r="N7" t="s">
        <v>4</v>
      </c>
      <c r="O7"/>
      <c r="P7" s="55" t="s">
        <v>81</v>
      </c>
      <c r="Q7" s="45" t="s">
        <v>5</v>
      </c>
      <c r="R7" s="45"/>
      <c r="S7" s="81">
        <v>39494</v>
      </c>
    </row>
    <row r="8" spans="1:19" ht="12.75" outlineLevel="1">
      <c r="A8" s="65" t="s">
        <v>19</v>
      </c>
      <c r="B8" s="65"/>
      <c r="C8" s="76">
        <f>(AVERAGE(Length)+SUM(Circumf))/(WtFuel-WtKindl)</f>
        <v>2.824603873239437</v>
      </c>
      <c r="D8" s="29"/>
      <c r="E8" s="29"/>
      <c r="F8" s="29"/>
      <c r="G8" s="2" t="s">
        <v>20</v>
      </c>
      <c r="H8" s="4"/>
      <c r="I8" s="22"/>
      <c r="J8" s="30" t="str">
        <f>Q15</f>
        <v>pc 1 and 4 reversed</v>
      </c>
      <c r="K8" s="30"/>
      <c r="L8" s="30"/>
      <c r="M8"/>
      <c r="N8" t="s">
        <v>8</v>
      </c>
      <c r="O8"/>
      <c r="P8" s="36">
        <v>24</v>
      </c>
      <c r="Q8" s="45" t="s">
        <v>69</v>
      </c>
      <c r="R8" s="45"/>
      <c r="S8" s="55" t="s">
        <v>72</v>
      </c>
    </row>
    <row r="9" spans="1:19" ht="12.75" outlineLevel="1">
      <c r="A9" s="65" t="s">
        <v>21</v>
      </c>
      <c r="B9" s="65"/>
      <c r="C9" s="35">
        <f>(COUNT(StackTemp)-1)/12</f>
        <v>1.9166666666666667</v>
      </c>
      <c r="D9" s="29"/>
      <c r="E9" s="29"/>
      <c r="F9" s="29"/>
      <c r="G9" s="2" t="s">
        <v>22</v>
      </c>
      <c r="H9" s="2"/>
      <c r="I9" s="6">
        <f>UnFuel</f>
        <v>0</v>
      </c>
      <c r="J9" s="19">
        <f>UnFuel</f>
        <v>0</v>
      </c>
      <c r="K9" s="30"/>
      <c r="L9" s="30"/>
      <c r="M9"/>
      <c r="N9" t="s">
        <v>12</v>
      </c>
      <c r="O9"/>
      <c r="P9" s="80">
        <v>0.7152777777777778</v>
      </c>
      <c r="Q9" s="45" t="s">
        <v>9</v>
      </c>
      <c r="R9" s="45"/>
      <c r="S9" s="36" t="s">
        <v>80</v>
      </c>
    </row>
    <row r="10" spans="1:19" ht="12.75" outlineLevel="1">
      <c r="A10" s="65" t="s">
        <v>23</v>
      </c>
      <c r="B10" s="65"/>
      <c r="C10" s="32">
        <f>AVERAGE(StackTemp)</f>
        <v>324.19999999999993</v>
      </c>
      <c r="D10" s="29"/>
      <c r="E10" s="29"/>
      <c r="F10" s="29"/>
      <c r="G10" s="97"/>
      <c r="H10" s="97"/>
      <c r="I10" s="97"/>
      <c r="J10" s="97"/>
      <c r="K10" s="98"/>
      <c r="L10" s="98"/>
      <c r="M10"/>
      <c r="O10" s="1" t="s">
        <v>85</v>
      </c>
      <c r="P10" s="38">
        <v>30</v>
      </c>
      <c r="Q10" s="45" t="s">
        <v>13</v>
      </c>
      <c r="R10" s="55" t="s">
        <v>82</v>
      </c>
      <c r="S10" s="55"/>
    </row>
    <row r="11" spans="1:19" ht="12.75" outlineLevel="1">
      <c r="A11" s="65" t="s">
        <v>24</v>
      </c>
      <c r="B11" s="65"/>
      <c r="C11" s="76">
        <f>AVERAGE(Ocalc)/10</f>
        <v>13.947826086956521</v>
      </c>
      <c r="D11" s="29"/>
      <c r="E11" s="29"/>
      <c r="F11" s="29"/>
      <c r="G11" s="83"/>
      <c r="H11" s="83"/>
      <c r="I11" s="83"/>
      <c r="J11" s="98"/>
      <c r="K11" s="98"/>
      <c r="L11" s="98"/>
      <c r="M11"/>
      <c r="N11" s="29"/>
      <c r="O11" s="29"/>
      <c r="P11" s="29"/>
      <c r="Q11" s="29"/>
      <c r="R11" s="29"/>
      <c r="S11" s="29"/>
    </row>
    <row r="12" spans="1:19" ht="12.75" outlineLevel="1">
      <c r="A12" s="65" t="s">
        <v>25</v>
      </c>
      <c r="B12" s="65"/>
      <c r="C12" s="76">
        <f>AVERAGE(CO)/100</f>
        <v>0.1190041666666667</v>
      </c>
      <c r="D12" s="29"/>
      <c r="E12" s="29"/>
      <c r="F12" s="29"/>
      <c r="G12" s="23" t="s">
        <v>26</v>
      </c>
      <c r="H12" s="13"/>
      <c r="I12" s="13"/>
      <c r="J12" s="23"/>
      <c r="K12" s="13"/>
      <c r="L12" s="24"/>
      <c r="M12"/>
      <c r="N12" s="111" t="s">
        <v>16</v>
      </c>
      <c r="O12" s="112"/>
      <c r="P12" s="112"/>
      <c r="Q12" s="112"/>
      <c r="R12" s="112"/>
      <c r="S12" s="113"/>
    </row>
    <row r="13" spans="1:19" ht="12.75">
      <c r="A13" s="65" t="s">
        <v>28</v>
      </c>
      <c r="B13" s="65"/>
      <c r="C13" s="77">
        <f>SQRT(528/(460+AvStackTemp))</f>
        <v>0.8205471516957954</v>
      </c>
      <c r="D13" s="83"/>
      <c r="E13" s="83"/>
      <c r="F13" s="83"/>
      <c r="G13" s="100" t="s">
        <v>29</v>
      </c>
      <c r="H13" s="102" t="s">
        <v>30</v>
      </c>
      <c r="I13" s="102" t="s">
        <v>31</v>
      </c>
      <c r="J13" s="92" t="s">
        <v>32</v>
      </c>
      <c r="K13" s="92" t="s">
        <v>33</v>
      </c>
      <c r="L13" s="92"/>
      <c r="M13"/>
      <c r="N13" s="29"/>
      <c r="O13" s="29"/>
      <c r="P13" s="29"/>
      <c r="Q13" s="62" t="s">
        <v>27</v>
      </c>
      <c r="R13" s="2"/>
      <c r="S13" s="63"/>
    </row>
    <row r="14" spans="1:19" ht="12.75">
      <c r="A14" s="65" t="s">
        <v>35</v>
      </c>
      <c r="B14" s="65"/>
      <c r="C14" s="77">
        <f>20.9/(20.9-AvO2)</f>
        <v>3.0062539086929334</v>
      </c>
      <c r="D14" s="29"/>
      <c r="E14" s="29"/>
      <c r="F14" s="29"/>
      <c r="G14" s="103">
        <v>0</v>
      </c>
      <c r="H14" s="104">
        <v>103.8</v>
      </c>
      <c r="I14" s="104">
        <v>209</v>
      </c>
      <c r="J14" s="104">
        <v>0</v>
      </c>
      <c r="K14" s="105"/>
      <c r="L14" s="93"/>
      <c r="N14" s="1" t="s">
        <v>34</v>
      </c>
      <c r="P14" s="64" t="s">
        <v>71</v>
      </c>
      <c r="Q14" s="108">
        <v>2222</v>
      </c>
      <c r="R14" s="54"/>
      <c r="S14" s="58"/>
    </row>
    <row r="15" spans="1:19" ht="12.75">
      <c r="A15" s="65" t="s">
        <v>36</v>
      </c>
      <c r="B15" s="65"/>
      <c r="C15" s="76">
        <f>((WtFuel-(UnburnedFuel*(1+AvMoisture/100)))/RunLength)*(1-(AvMoisture/100))/2.2</f>
        <v>11.630039525691698</v>
      </c>
      <c r="D15" s="29"/>
      <c r="E15" s="29"/>
      <c r="F15" s="29"/>
      <c r="G15" s="103">
        <v>5</v>
      </c>
      <c r="H15" s="104">
        <v>255</v>
      </c>
      <c r="I15" s="104">
        <v>118</v>
      </c>
      <c r="J15" s="104">
        <v>21.54</v>
      </c>
      <c r="K15" s="105"/>
      <c r="L15" s="94"/>
      <c r="N15" s="29"/>
      <c r="O15" s="29"/>
      <c r="P15" s="29"/>
      <c r="Q15" s="57" t="s">
        <v>83</v>
      </c>
      <c r="R15" s="54"/>
      <c r="S15" s="58"/>
    </row>
    <row r="16" spans="1:19" ht="12.75">
      <c r="A16" s="65" t="s">
        <v>38</v>
      </c>
      <c r="B16" s="65"/>
      <c r="C16" s="76">
        <f>(8.05+0.0035*(AvStackTemp-70))+(2.58+0.00114*AvStackTemp)</f>
        <v>11.889288</v>
      </c>
      <c r="D16" s="29"/>
      <c r="E16" s="29"/>
      <c r="F16" s="29"/>
      <c r="G16" s="103">
        <v>10</v>
      </c>
      <c r="H16" s="104">
        <v>294.8</v>
      </c>
      <c r="I16" s="104">
        <v>97</v>
      </c>
      <c r="J16" s="104">
        <v>15.5</v>
      </c>
      <c r="K16" s="105"/>
      <c r="L16" s="94"/>
      <c r="N16" s="2" t="s">
        <v>37</v>
      </c>
      <c r="O16" s="2"/>
      <c r="P16" s="56">
        <v>4.5</v>
      </c>
      <c r="Q16" s="57" t="s">
        <v>84</v>
      </c>
      <c r="R16" s="54"/>
      <c r="S16" s="58"/>
    </row>
    <row r="17" spans="1:19" ht="12.75">
      <c r="A17" s="65" t="s">
        <v>40</v>
      </c>
      <c r="B17" s="65"/>
      <c r="C17" s="76">
        <f>gmKgCO*9.75/86</f>
        <v>2.4051860911502656</v>
      </c>
      <c r="D17" s="29"/>
      <c r="E17" s="29"/>
      <c r="F17" s="29"/>
      <c r="G17" s="103">
        <v>15</v>
      </c>
      <c r="H17" s="104">
        <v>309.8</v>
      </c>
      <c r="I17" s="104">
        <v>97</v>
      </c>
      <c r="J17" s="104">
        <v>24.83</v>
      </c>
      <c r="K17" s="105"/>
      <c r="L17" s="94"/>
      <c r="N17" s="1" t="s">
        <v>39</v>
      </c>
      <c r="P17" s="56">
        <v>0</v>
      </c>
      <c r="Q17" s="59" t="s">
        <v>86</v>
      </c>
      <c r="R17" s="60"/>
      <c r="S17" s="61"/>
    </row>
    <row r="18" spans="1:19" ht="12.75">
      <c r="A18" s="65" t="s">
        <v>41</v>
      </c>
      <c r="B18" s="65"/>
      <c r="C18" s="76">
        <f>gmKgCondar*33/86</f>
        <v>0.3500775418101273</v>
      </c>
      <c r="D18" s="29"/>
      <c r="E18" s="29"/>
      <c r="F18" s="29"/>
      <c r="G18" s="103">
        <v>20</v>
      </c>
      <c r="H18" s="104">
        <v>313.5</v>
      </c>
      <c r="I18" s="104">
        <v>113</v>
      </c>
      <c r="J18" s="104">
        <v>38.15</v>
      </c>
      <c r="K18" s="105"/>
      <c r="L18" s="94"/>
      <c r="N18" s="29"/>
      <c r="O18" s="29"/>
      <c r="P18" s="29"/>
      <c r="Q18" s="29"/>
      <c r="R18" s="29"/>
      <c r="S18" s="29"/>
    </row>
    <row r="19" spans="1:19" ht="12.75">
      <c r="A19" s="65" t="s">
        <v>42</v>
      </c>
      <c r="B19" s="65"/>
      <c r="C19" s="76">
        <f>((1.5*DilutionFactor*(AvStackTemp-70))/8600)*100</f>
        <v>13.328890876565291</v>
      </c>
      <c r="D19" s="29"/>
      <c r="E19" s="29"/>
      <c r="F19" s="29"/>
      <c r="G19" s="103">
        <v>25</v>
      </c>
      <c r="H19" s="104">
        <v>330.8</v>
      </c>
      <c r="I19" s="104">
        <v>126</v>
      </c>
      <c r="J19" s="104">
        <v>40.29</v>
      </c>
      <c r="K19" s="105"/>
      <c r="L19" s="94"/>
      <c r="N19" s="29"/>
      <c r="O19" s="29"/>
      <c r="P19" s="29"/>
      <c r="Q19" s="29"/>
      <c r="R19" s="29"/>
      <c r="S19" s="29"/>
    </row>
    <row r="20" spans="1:19" ht="15">
      <c r="A20" s="78" t="s">
        <v>44</v>
      </c>
      <c r="B20" s="79"/>
      <c r="C20" s="79">
        <f>Catch</f>
        <v>0.06280000000000008</v>
      </c>
      <c r="D20" s="29"/>
      <c r="E20" s="29"/>
      <c r="F20" s="29"/>
      <c r="G20" s="103">
        <v>30</v>
      </c>
      <c r="H20" s="104">
        <v>344.9</v>
      </c>
      <c r="I20" s="104">
        <v>113</v>
      </c>
      <c r="J20" s="104">
        <v>14.81</v>
      </c>
      <c r="K20" s="105"/>
      <c r="L20" s="94"/>
      <c r="N20" s="29"/>
      <c r="O20" s="27" t="s">
        <v>43</v>
      </c>
      <c r="P20" s="31"/>
      <c r="Q20" s="31"/>
      <c r="R20" s="31"/>
      <c r="S20" s="31"/>
    </row>
    <row r="21" spans="1:20" ht="12.75">
      <c r="A21" s="66" t="s">
        <v>50</v>
      </c>
      <c r="B21" s="67"/>
      <c r="C21" s="68">
        <f>(Catch/RunLength)*3.04*(DilutionFactor)/(0.4*StackTempFactor)</f>
        <v>0.9123232907779074</v>
      </c>
      <c r="D21" s="29"/>
      <c r="E21" s="29"/>
      <c r="F21" s="29"/>
      <c r="G21" s="103">
        <v>35</v>
      </c>
      <c r="H21" s="104">
        <v>340.2</v>
      </c>
      <c r="I21" s="104">
        <v>120</v>
      </c>
      <c r="J21" s="104">
        <v>6.79</v>
      </c>
      <c r="K21" s="105"/>
      <c r="L21" s="94"/>
      <c r="N21" s="29"/>
      <c r="O21" s="23" t="s">
        <v>45</v>
      </c>
      <c r="P21" s="13" t="s">
        <v>46</v>
      </c>
      <c r="Q21" s="13" t="s">
        <v>47</v>
      </c>
      <c r="R21" s="13" t="s">
        <v>48</v>
      </c>
      <c r="S21" s="13" t="s">
        <v>49</v>
      </c>
      <c r="T21" s="109" t="s">
        <v>73</v>
      </c>
    </row>
    <row r="22" spans="1:20" ht="12.75">
      <c r="A22" s="69" t="s">
        <v>51</v>
      </c>
      <c r="B22" s="70"/>
      <c r="C22" s="71">
        <f>59.3*AvCO*DilutionFactor</f>
        <v>21.214974752710035</v>
      </c>
      <c r="D22" s="29"/>
      <c r="E22" s="29"/>
      <c r="F22" s="29"/>
      <c r="G22" s="103">
        <v>40</v>
      </c>
      <c r="H22" s="106">
        <v>318.6</v>
      </c>
      <c r="I22" s="106">
        <v>139</v>
      </c>
      <c r="J22" s="106">
        <v>9.94</v>
      </c>
      <c r="K22" s="105"/>
      <c r="L22" s="94"/>
      <c r="N22" s="29"/>
      <c r="O22" s="1">
        <v>1</v>
      </c>
      <c r="P22" s="39">
        <v>6.8</v>
      </c>
      <c r="Q22" s="39">
        <v>20</v>
      </c>
      <c r="R22" s="39">
        <v>18</v>
      </c>
      <c r="S22" s="39">
        <v>16</v>
      </c>
      <c r="T22" s="36">
        <v>2</v>
      </c>
    </row>
    <row r="23" spans="1:20" ht="12.75">
      <c r="A23" s="69" t="s">
        <v>52</v>
      </c>
      <c r="B23" s="72"/>
      <c r="C23" s="71">
        <f>100-COLoss-HCLoss</f>
        <v>97.24473636703961</v>
      </c>
      <c r="D23" s="29"/>
      <c r="E23" s="29"/>
      <c r="F23" s="29"/>
      <c r="G23" s="103">
        <v>45</v>
      </c>
      <c r="H23" s="106">
        <v>345.5</v>
      </c>
      <c r="I23" s="106">
        <v>140</v>
      </c>
      <c r="J23" s="106">
        <v>8.03</v>
      </c>
      <c r="K23" s="105"/>
      <c r="L23" s="94"/>
      <c r="N23" s="29"/>
      <c r="O23" s="1">
        <v>2</v>
      </c>
      <c r="P23" s="39">
        <v>6.4</v>
      </c>
      <c r="Q23" s="39">
        <v>20</v>
      </c>
      <c r="R23" s="39">
        <v>18</v>
      </c>
      <c r="S23" s="39">
        <v>14</v>
      </c>
      <c r="T23" s="36">
        <v>2</v>
      </c>
    </row>
    <row r="24" spans="1:20" ht="12.75">
      <c r="A24" s="69" t="s">
        <v>53</v>
      </c>
      <c r="B24" s="70"/>
      <c r="C24" s="71">
        <f>100-DryGasLoss-BoilWaterLoss</f>
        <v>74.7818211234347</v>
      </c>
      <c r="D24" s="29"/>
      <c r="E24" s="29"/>
      <c r="F24" s="29"/>
      <c r="G24" s="103">
        <v>50</v>
      </c>
      <c r="H24" s="106">
        <v>363.1</v>
      </c>
      <c r="I24" s="106">
        <v>139</v>
      </c>
      <c r="J24" s="106">
        <v>5.86</v>
      </c>
      <c r="K24" s="105"/>
      <c r="L24" s="94"/>
      <c r="N24" s="29"/>
      <c r="O24" s="1">
        <v>3</v>
      </c>
      <c r="P24" s="39">
        <v>12.2</v>
      </c>
      <c r="Q24" s="39">
        <v>20</v>
      </c>
      <c r="R24" s="39">
        <v>24</v>
      </c>
      <c r="S24" s="39">
        <v>14</v>
      </c>
      <c r="T24" s="36">
        <v>2</v>
      </c>
    </row>
    <row r="25" spans="1:20" ht="12.75">
      <c r="A25" s="73" t="s">
        <v>54</v>
      </c>
      <c r="B25" s="74"/>
      <c r="C25" s="75">
        <f>HTransEffic*CombustEffic/100</f>
        <v>72.72138480195521</v>
      </c>
      <c r="D25" s="29"/>
      <c r="E25" s="29"/>
      <c r="F25" s="29"/>
      <c r="G25" s="103">
        <v>55</v>
      </c>
      <c r="H25" s="106">
        <v>365.6</v>
      </c>
      <c r="I25" s="106">
        <v>148</v>
      </c>
      <c r="J25" s="106">
        <v>6.53</v>
      </c>
      <c r="K25" s="105"/>
      <c r="L25" s="94"/>
      <c r="N25" s="29"/>
      <c r="O25" s="1">
        <v>4</v>
      </c>
      <c r="P25" s="39">
        <v>8.8</v>
      </c>
      <c r="Q25" s="39">
        <v>20</v>
      </c>
      <c r="R25" s="39">
        <v>20</v>
      </c>
      <c r="S25" s="39">
        <v>14</v>
      </c>
      <c r="T25" s="36">
        <v>2</v>
      </c>
    </row>
    <row r="26" spans="1:20" ht="12.75">
      <c r="A26" s="9" t="s">
        <v>55</v>
      </c>
      <c r="B26" s="10" t="s">
        <v>56</v>
      </c>
      <c r="C26" s="10" t="s">
        <v>57</v>
      </c>
      <c r="D26" s="10" t="s">
        <v>58</v>
      </c>
      <c r="E26" s="6"/>
      <c r="F26" s="6"/>
      <c r="G26" s="103">
        <v>60</v>
      </c>
      <c r="H26" s="106">
        <v>367.4</v>
      </c>
      <c r="I26" s="106">
        <v>133</v>
      </c>
      <c r="J26" s="106">
        <v>9.39</v>
      </c>
      <c r="K26" s="105"/>
      <c r="L26" s="94"/>
      <c r="N26" s="29"/>
      <c r="O26" s="1">
        <v>5</v>
      </c>
      <c r="P26" s="39">
        <v>6.7</v>
      </c>
      <c r="Q26" s="39">
        <v>20</v>
      </c>
      <c r="R26" s="39">
        <v>18</v>
      </c>
      <c r="S26" s="39">
        <v>14</v>
      </c>
      <c r="T26" s="36">
        <v>2</v>
      </c>
    </row>
    <row r="27" spans="1:20" ht="12.75">
      <c r="A27" s="11" t="s">
        <v>59</v>
      </c>
      <c r="B27" s="12" t="s">
        <v>60</v>
      </c>
      <c r="C27" s="12" t="s">
        <v>60</v>
      </c>
      <c r="D27" s="12" t="s">
        <v>61</v>
      </c>
      <c r="E27" s="6"/>
      <c r="F27" s="6"/>
      <c r="G27" s="103">
        <v>65</v>
      </c>
      <c r="H27" s="106">
        <v>376.9</v>
      </c>
      <c r="I27" s="106">
        <v>138</v>
      </c>
      <c r="J27" s="106">
        <v>5.55</v>
      </c>
      <c r="K27" s="105"/>
      <c r="L27" s="94"/>
      <c r="N27" s="29"/>
      <c r="O27" s="1">
        <v>6</v>
      </c>
      <c r="P27" s="39">
        <v>5.8</v>
      </c>
      <c r="Q27" s="39">
        <v>20</v>
      </c>
      <c r="R27" s="39">
        <v>16.5</v>
      </c>
      <c r="S27" s="39">
        <v>14.5</v>
      </c>
      <c r="T27" s="36">
        <v>2</v>
      </c>
    </row>
    <row r="28" spans="1:20" ht="12.75">
      <c r="A28" s="14">
        <v>1</v>
      </c>
      <c r="B28" s="55">
        <v>0.9973</v>
      </c>
      <c r="C28" s="55">
        <v>1.0584</v>
      </c>
      <c r="D28" s="5">
        <f aca="true" t="shared" si="0" ref="D28:D33">IF(FiltDirty-FiltClean&gt;0,FiltDirty-FiltClean,0)</f>
        <v>0.06110000000000004</v>
      </c>
      <c r="E28" s="5"/>
      <c r="F28" s="5"/>
      <c r="G28" s="103">
        <v>70</v>
      </c>
      <c r="H28" s="106">
        <v>376.9</v>
      </c>
      <c r="I28" s="106">
        <v>146</v>
      </c>
      <c r="J28" s="106">
        <v>4.86</v>
      </c>
      <c r="K28" s="105"/>
      <c r="L28" s="94"/>
      <c r="N28" s="29"/>
      <c r="O28" s="1">
        <v>7</v>
      </c>
      <c r="P28" s="39">
        <v>5.3</v>
      </c>
      <c r="Q28" s="39">
        <v>20</v>
      </c>
      <c r="R28" s="39">
        <v>15.5</v>
      </c>
      <c r="S28" s="39">
        <v>15</v>
      </c>
      <c r="T28" s="36">
        <v>3</v>
      </c>
    </row>
    <row r="29" spans="1:20" ht="12.75">
      <c r="A29" s="14">
        <v>2</v>
      </c>
      <c r="B29" s="55">
        <v>0.993</v>
      </c>
      <c r="C29" s="55">
        <v>0.9953</v>
      </c>
      <c r="D29" s="5">
        <f t="shared" si="0"/>
        <v>0.0022999999999999687</v>
      </c>
      <c r="E29" s="5"/>
      <c r="F29" s="5"/>
      <c r="G29" s="103">
        <v>75</v>
      </c>
      <c r="H29" s="106">
        <v>374.9</v>
      </c>
      <c r="I29" s="106">
        <v>150</v>
      </c>
      <c r="J29" s="106">
        <v>5.2</v>
      </c>
      <c r="K29" s="105"/>
      <c r="L29" s="94"/>
      <c r="N29" s="29"/>
      <c r="O29" s="1">
        <v>8</v>
      </c>
      <c r="P29" s="39">
        <v>4.8</v>
      </c>
      <c r="Q29" s="39">
        <v>20</v>
      </c>
      <c r="R29" s="39">
        <v>16</v>
      </c>
      <c r="S29" s="39">
        <v>14</v>
      </c>
      <c r="T29" s="36">
        <v>3</v>
      </c>
    </row>
    <row r="30" spans="1:20" ht="12.75">
      <c r="A30" s="14">
        <v>3</v>
      </c>
      <c r="B30" s="55"/>
      <c r="C30" s="55"/>
      <c r="D30" s="5">
        <f t="shared" si="0"/>
        <v>0</v>
      </c>
      <c r="E30" s="5"/>
      <c r="F30" s="5"/>
      <c r="G30" s="103">
        <v>80</v>
      </c>
      <c r="H30" s="106">
        <v>382.4</v>
      </c>
      <c r="I30" s="106">
        <v>143</v>
      </c>
      <c r="J30" s="106">
        <v>4.93</v>
      </c>
      <c r="K30" s="105"/>
      <c r="L30" s="94"/>
      <c r="N30" s="29"/>
      <c r="O30" s="1">
        <v>9</v>
      </c>
      <c r="P30" s="39"/>
      <c r="Q30" s="39"/>
      <c r="R30" s="39"/>
      <c r="S30" s="39"/>
      <c r="T30" s="36"/>
    </row>
    <row r="31" spans="1:20" ht="12.75">
      <c r="A31" s="14">
        <v>4</v>
      </c>
      <c r="B31" s="55"/>
      <c r="C31" s="55"/>
      <c r="D31" s="5">
        <f t="shared" si="0"/>
        <v>0</v>
      </c>
      <c r="E31" s="5"/>
      <c r="F31" s="5"/>
      <c r="G31" s="103">
        <v>85</v>
      </c>
      <c r="H31" s="106">
        <v>348.7</v>
      </c>
      <c r="I31" s="106">
        <v>153</v>
      </c>
      <c r="J31" s="106">
        <v>8.45</v>
      </c>
      <c r="K31" s="105"/>
      <c r="L31" s="94"/>
      <c r="N31" s="29"/>
      <c r="O31" s="1">
        <v>10</v>
      </c>
      <c r="P31" s="39"/>
      <c r="Q31" s="39"/>
      <c r="R31" s="39"/>
      <c r="S31" s="39"/>
      <c r="T31" s="36"/>
    </row>
    <row r="32" spans="1:20" ht="12.75">
      <c r="A32" s="14">
        <v>5</v>
      </c>
      <c r="B32" s="55"/>
      <c r="C32" s="55"/>
      <c r="D32" s="5">
        <f t="shared" si="0"/>
        <v>0</v>
      </c>
      <c r="E32" s="5"/>
      <c r="F32" s="5"/>
      <c r="G32" s="103">
        <v>90</v>
      </c>
      <c r="H32" s="106">
        <v>333.9</v>
      </c>
      <c r="I32" s="106">
        <v>160</v>
      </c>
      <c r="J32" s="106">
        <v>10.08</v>
      </c>
      <c r="K32" s="105"/>
      <c r="L32" s="94"/>
      <c r="N32" s="29"/>
      <c r="O32" s="1">
        <v>11</v>
      </c>
      <c r="P32" s="39"/>
      <c r="Q32" s="39"/>
      <c r="R32" s="39"/>
      <c r="S32" s="39"/>
      <c r="T32" s="36"/>
    </row>
    <row r="33" spans="1:20" ht="13.5" thickBot="1">
      <c r="A33" s="14">
        <v>6</v>
      </c>
      <c r="B33" s="55"/>
      <c r="C33" s="55"/>
      <c r="D33" s="5">
        <f t="shared" si="0"/>
        <v>0</v>
      </c>
      <c r="E33" s="5"/>
      <c r="F33" s="5"/>
      <c r="G33" s="103">
        <v>95</v>
      </c>
      <c r="H33" s="104">
        <v>318.6</v>
      </c>
      <c r="I33" s="104">
        <v>154</v>
      </c>
      <c r="J33" s="104">
        <v>8.62</v>
      </c>
      <c r="K33" s="105"/>
      <c r="L33" s="94"/>
      <c r="N33" s="29"/>
      <c r="O33" s="1">
        <v>12</v>
      </c>
      <c r="P33" s="39"/>
      <c r="Q33" s="39"/>
      <c r="R33" s="39"/>
      <c r="S33" s="39"/>
      <c r="T33" s="36"/>
    </row>
    <row r="34" spans="1:29" ht="13.5" thickBot="1">
      <c r="A34" s="15" t="s">
        <v>62</v>
      </c>
      <c r="B34" s="55">
        <v>1.0123</v>
      </c>
      <c r="C34" s="55">
        <v>1.0129</v>
      </c>
      <c r="D34" s="5"/>
      <c r="E34" s="5"/>
      <c r="F34" s="5"/>
      <c r="G34" s="103">
        <v>100</v>
      </c>
      <c r="H34" s="104">
        <v>317.1</v>
      </c>
      <c r="I34" s="104">
        <v>156</v>
      </c>
      <c r="J34" s="104">
        <v>8.98</v>
      </c>
      <c r="K34" s="105"/>
      <c r="L34" s="94"/>
      <c r="N34" s="29"/>
      <c r="O34" s="1">
        <v>13</v>
      </c>
      <c r="P34" s="39"/>
      <c r="Q34" s="39"/>
      <c r="R34" s="39"/>
      <c r="S34" s="39"/>
      <c r="T34" s="36"/>
      <c r="X34" s="87"/>
      <c r="Y34" s="88"/>
      <c r="Z34" s="88"/>
      <c r="AA34" s="89"/>
      <c r="AB34" s="89"/>
      <c r="AC34" s="90"/>
    </row>
    <row r="35" spans="1:20" ht="12.75">
      <c r="A35" s="16" t="s">
        <v>63</v>
      </c>
      <c r="B35" s="55">
        <v>0</v>
      </c>
      <c r="C35" s="55">
        <v>0</v>
      </c>
      <c r="D35" s="84"/>
      <c r="E35" s="5"/>
      <c r="F35" s="5"/>
      <c r="G35" s="103">
        <v>105</v>
      </c>
      <c r="H35" s="104">
        <v>317.8</v>
      </c>
      <c r="I35" s="104">
        <v>173</v>
      </c>
      <c r="J35" s="104">
        <v>8.19</v>
      </c>
      <c r="K35" s="105"/>
      <c r="L35" s="94"/>
      <c r="N35" s="29"/>
      <c r="O35" s="1">
        <v>14</v>
      </c>
      <c r="P35" s="39"/>
      <c r="Q35" s="39"/>
      <c r="R35" s="39"/>
      <c r="S35" s="39"/>
      <c r="T35" s="36"/>
    </row>
    <row r="36" spans="1:20" ht="13.5" thickBot="1">
      <c r="A36" s="99"/>
      <c r="B36" s="5" t="s">
        <v>64</v>
      </c>
      <c r="C36" s="5"/>
      <c r="D36" s="5">
        <f>+COUNT(FiltClean)*(AVERAGE(CleanControl)-AVERAGE(DirtyControl))</f>
        <v>-0.0005999999999999339</v>
      </c>
      <c r="E36" s="5"/>
      <c r="F36" s="5"/>
      <c r="G36" s="103">
        <v>110</v>
      </c>
      <c r="H36" s="104">
        <v>323.4</v>
      </c>
      <c r="I36" s="104">
        <v>165</v>
      </c>
      <c r="J36" s="104">
        <v>8.86</v>
      </c>
      <c r="K36" s="105"/>
      <c r="L36" s="94"/>
      <c r="N36" s="29"/>
      <c r="O36" s="1">
        <v>15</v>
      </c>
      <c r="P36" s="39"/>
      <c r="Q36" s="39"/>
      <c r="R36" s="39"/>
      <c r="S36" s="39"/>
      <c r="T36" s="36"/>
    </row>
    <row r="37" spans="1:20" ht="13.5" thickBot="1">
      <c r="A37" s="99"/>
      <c r="B37" s="8" t="s">
        <v>65</v>
      </c>
      <c r="C37" s="7"/>
      <c r="D37" s="7">
        <f>SUM(D28:D33)+D36</f>
        <v>0.06280000000000008</v>
      </c>
      <c r="E37" s="5"/>
      <c r="F37" s="5"/>
      <c r="G37" s="103">
        <v>115</v>
      </c>
      <c r="H37" s="104">
        <v>257.2</v>
      </c>
      <c r="I37" s="104">
        <v>187</v>
      </c>
      <c r="J37" s="104">
        <v>10.23</v>
      </c>
      <c r="K37" s="105"/>
      <c r="L37" s="94"/>
      <c r="N37" s="29"/>
      <c r="O37" s="1">
        <v>16</v>
      </c>
      <c r="P37" s="39"/>
      <c r="Q37" s="39"/>
      <c r="R37" s="39"/>
      <c r="S37" s="39"/>
      <c r="T37" s="36"/>
    </row>
    <row r="38" spans="1:20" ht="12.75">
      <c r="A38" s="97"/>
      <c r="B38"/>
      <c r="C38"/>
      <c r="D38"/>
      <c r="E38"/>
      <c r="F38"/>
      <c r="G38" s="103">
        <v>120</v>
      </c>
      <c r="H38" s="104"/>
      <c r="I38" s="104"/>
      <c r="J38" s="104"/>
      <c r="K38" s="105"/>
      <c r="L38" s="94"/>
      <c r="N38" s="29"/>
      <c r="O38" s="1">
        <v>17</v>
      </c>
      <c r="P38" s="39"/>
      <c r="Q38" s="39"/>
      <c r="R38" s="39"/>
      <c r="S38" s="39"/>
      <c r="T38" s="36"/>
    </row>
    <row r="39" spans="1:20" ht="12.75">
      <c r="A39" s="97"/>
      <c r="B39" s="2" t="s">
        <v>66</v>
      </c>
      <c r="C39" s="2"/>
      <c r="D39" s="55"/>
      <c r="E39" s="55"/>
      <c r="F39" s="55"/>
      <c r="G39" s="95">
        <v>125</v>
      </c>
      <c r="H39" s="104"/>
      <c r="I39" s="104"/>
      <c r="J39" s="104"/>
      <c r="K39" s="105"/>
      <c r="L39" s="85"/>
      <c r="N39" s="29"/>
      <c r="O39" s="1">
        <v>18</v>
      </c>
      <c r="P39" s="39"/>
      <c r="Q39" s="39"/>
      <c r="R39" s="39"/>
      <c r="S39" s="39"/>
      <c r="T39" s="36"/>
    </row>
    <row r="40" spans="1:20" ht="12.75">
      <c r="A40" s="83"/>
      <c r="B40" s="2" t="s">
        <v>67</v>
      </c>
      <c r="C40" s="2"/>
      <c r="D40" s="5"/>
      <c r="E40" s="5"/>
      <c r="F40" s="5"/>
      <c r="G40" s="95">
        <v>130</v>
      </c>
      <c r="H40" s="37"/>
      <c r="I40" s="37"/>
      <c r="J40" s="40"/>
      <c r="K40" s="41"/>
      <c r="L40" s="85"/>
      <c r="N40" s="29"/>
      <c r="O40" s="1">
        <v>19</v>
      </c>
      <c r="P40" s="39"/>
      <c r="Q40" s="39"/>
      <c r="R40" s="39"/>
      <c r="S40" s="39"/>
      <c r="T40" s="36"/>
    </row>
    <row r="41" spans="1:20" ht="12.75">
      <c r="A41" s="29"/>
      <c r="B41" s="2" t="s">
        <v>68</v>
      </c>
      <c r="C41" s="2"/>
      <c r="D41" s="55"/>
      <c r="E41" s="55"/>
      <c r="F41" s="55"/>
      <c r="G41" s="95">
        <v>135</v>
      </c>
      <c r="H41" s="37"/>
      <c r="I41" s="37"/>
      <c r="J41" s="40"/>
      <c r="K41" s="41"/>
      <c r="L41" s="85"/>
      <c r="N41" s="29"/>
      <c r="O41" s="29"/>
      <c r="P41" s="29"/>
      <c r="Q41" s="29"/>
      <c r="R41" s="29"/>
      <c r="S41" s="29"/>
      <c r="T41" s="110"/>
    </row>
    <row r="42" spans="1:20" ht="12.75">
      <c r="A42" s="97"/>
      <c r="B42" s="2" t="s">
        <v>67</v>
      </c>
      <c r="C42" s="2"/>
      <c r="D42" s="5"/>
      <c r="E42" s="5"/>
      <c r="F42" s="5"/>
      <c r="G42" s="95">
        <v>140</v>
      </c>
      <c r="H42" s="37"/>
      <c r="I42" s="37"/>
      <c r="J42" s="40"/>
      <c r="K42" s="41"/>
      <c r="L42" s="85"/>
      <c r="N42" s="29"/>
      <c r="O42" s="29"/>
      <c r="P42" s="29"/>
      <c r="Q42" s="29"/>
      <c r="R42" s="29"/>
      <c r="S42" s="29"/>
      <c r="T42" s="110"/>
    </row>
    <row r="43" spans="1:20" ht="12.75">
      <c r="A43" s="97"/>
      <c r="B43"/>
      <c r="C43"/>
      <c r="D43"/>
      <c r="E43"/>
      <c r="F43"/>
      <c r="G43" s="95">
        <v>145</v>
      </c>
      <c r="H43" s="37"/>
      <c r="I43" s="37"/>
      <c r="J43" s="40"/>
      <c r="K43" s="41"/>
      <c r="L43" s="85"/>
      <c r="N43" s="29"/>
      <c r="O43" s="29"/>
      <c r="P43" s="29"/>
      <c r="Q43" s="29"/>
      <c r="R43" s="29"/>
      <c r="S43" s="29"/>
      <c r="T43" s="110"/>
    </row>
    <row r="44" spans="1:17" ht="12.75">
      <c r="A44" s="29"/>
      <c r="B44"/>
      <c r="C44"/>
      <c r="D44"/>
      <c r="E44"/>
      <c r="F44"/>
      <c r="G44" s="95">
        <v>150</v>
      </c>
      <c r="H44" s="37"/>
      <c r="I44" s="37"/>
      <c r="J44" s="40"/>
      <c r="K44" s="41"/>
      <c r="L44" s="85"/>
      <c r="N44" t="s">
        <v>74</v>
      </c>
      <c r="P44" s="1">
        <v>1</v>
      </c>
      <c r="Q44" s="1" t="s">
        <v>75</v>
      </c>
    </row>
    <row r="45" spans="1:17" ht="12.75">
      <c r="A45" s="29"/>
      <c r="B45"/>
      <c r="C45"/>
      <c r="D45"/>
      <c r="E45"/>
      <c r="F45"/>
      <c r="G45" s="95">
        <v>155</v>
      </c>
      <c r="H45" s="37"/>
      <c r="I45" s="37"/>
      <c r="J45" s="40"/>
      <c r="K45" s="41"/>
      <c r="L45" s="85"/>
      <c r="N45"/>
      <c r="P45" s="1">
        <v>2</v>
      </c>
      <c r="Q45" s="1" t="s">
        <v>76</v>
      </c>
    </row>
    <row r="46" spans="1:17" ht="12.75">
      <c r="A46" s="29"/>
      <c r="B46"/>
      <c r="C46"/>
      <c r="D46"/>
      <c r="E46"/>
      <c r="F46"/>
      <c r="G46" s="95">
        <v>160</v>
      </c>
      <c r="H46" s="37"/>
      <c r="I46" s="37"/>
      <c r="J46" s="40"/>
      <c r="K46" s="41"/>
      <c r="L46" s="85"/>
      <c r="N46"/>
      <c r="P46" s="1">
        <v>3</v>
      </c>
      <c r="Q46" s="1" t="s">
        <v>77</v>
      </c>
    </row>
    <row r="47" spans="1:17" ht="12.75">
      <c r="A47" s="29"/>
      <c r="G47" s="96">
        <v>165</v>
      </c>
      <c r="H47" s="42"/>
      <c r="I47" s="42"/>
      <c r="J47" s="43"/>
      <c r="K47" s="44"/>
      <c r="L47" s="86"/>
      <c r="N47"/>
      <c r="P47" s="1">
        <v>4</v>
      </c>
      <c r="Q47" s="1" t="s">
        <v>78</v>
      </c>
    </row>
    <row r="48" spans="9:12" ht="12.75">
      <c r="I48" s="3"/>
      <c r="L48" s="2"/>
    </row>
    <row r="49" ht="12.75">
      <c r="L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</sheetData>
  <mergeCells count="4">
    <mergeCell ref="N12:S12"/>
    <mergeCell ref="N6:S6"/>
    <mergeCell ref="A1:L1"/>
    <mergeCell ref="N1:S1"/>
  </mergeCells>
  <printOptions gridLines="1" horizontalCentered="1" verticalCentered="1"/>
  <pageMargins left="0.75" right="0.75" top="0.59" bottom="0.62" header="0.5" footer="0.5"/>
  <pageSetup orientation="portrait" scale="90" r:id="rId4"/>
  <headerFooter alignWithMargins="0">
    <oddHeader>&amp;C&amp;F&amp;R&amp;D  &amp;T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Norbert</cp:lastModifiedBy>
  <dcterms:created xsi:type="dcterms:W3CDTF">2005-03-05T21:24:09Z</dcterms:created>
  <dcterms:modified xsi:type="dcterms:W3CDTF">2008-02-17T01:58:58Z</dcterms:modified>
  <cp:category/>
  <cp:version/>
  <cp:contentType/>
  <cp:contentStatus/>
</cp:coreProperties>
</file>