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9"/>
  <c r="C7"/>
  <c r="D29"/>
  <c r="D30"/>
  <c r="D31"/>
  <c r="D32"/>
  <c r="D33"/>
  <c r="D34"/>
  <c r="D37"/>
  <c r="C15"/>
  <c r="C3"/>
  <c r="H9"/>
  <c r="J3"/>
  <c r="G4"/>
  <c r="H7"/>
  <c r="C4"/>
  <c r="F3"/>
  <c r="J4"/>
  <c r="C6"/>
  <c r="G9"/>
  <c r="G5"/>
  <c r="H8"/>
  <c r="C11"/>
  <c r="C14" s="1"/>
  <c r="D38" l="1"/>
  <c r="C21" s="1"/>
  <c r="C5"/>
  <c r="C16" s="1"/>
  <c r="C20"/>
  <c r="C23"/>
  <c r="C18" s="1"/>
  <c r="C17"/>
  <c r="C25" s="1"/>
  <c r="C22" l="1"/>
  <c r="C19" s="1"/>
  <c r="C24" s="1"/>
  <c r="C26" s="1"/>
  <c r="C8"/>
</calcChain>
</file>

<file path=xl/sharedStrings.xml><?xml version="1.0" encoding="utf-8"?>
<sst xmlns="http://schemas.openxmlformats.org/spreadsheetml/2006/main" count="89" uniqueCount="82">
  <si>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</si>
  <si>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</si>
  <si>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</si>
  <si>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</si>
  <si>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</si>
  <si>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</si>
  <si>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</si>
  <si>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</si>
  <si>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</si>
  <si>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</si>
  <si>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</si>
  <si>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</si>
  <si>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</si>
  <si>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</si>
  <si>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</si>
  <si>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</si>
  <si>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</si>
  <si>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</si>
  <si>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</si>
  <si>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</si>
  <si>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</si>
  <si>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</si>
  <si>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</si>
  <si>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</si>
  <si>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</si>
  <si>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</si>
  <si>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</si>
  <si>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</si>
  <si>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</si>
  <si>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</si>
  <si>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</si>
  <si>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</si>
  <si>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</si>
  <si>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</si>
  <si>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</si>
  <si>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</si>
  <si>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</si>
  <si>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</si>
  <si>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</si>
  <si>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</si>
  <si>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</si>
  <si>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</si>
  <si>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</si>
  <si>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</si>
  <si>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</si>
  <si>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</si>
  <si>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</si>
  <si>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</si>
  <si>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</si>
  <si>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</si>
  <si>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</si>
  <si>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</si>
  <si>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</si>
  <si>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</si>
  <si>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</si>
  <si>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</si>
  <si>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</si>
  <si>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</si>
  <si>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</si>
  <si>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</si>
  <si>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</si>
  <si>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</si>
  <si>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</si>
  <si>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</si>
  <si>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</si>
  <si>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</si>
  <si>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</si>
  <si>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</si>
  <si>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</si>
  <si>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</si>
  <si>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</si>
  <si>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</si>
  <si>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</si>
  <si>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</si>
  <si>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</si>
  <si>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</si>
  <si>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</si>
  <si>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</si>
  <si>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</si>
  <si>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20F</t>
  </si>
  <si>
    <t>clear, calm</t>
  </si>
  <si>
    <t>HKK-26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</si>
</sst>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C1" workbookViewId="0">
      <selection activeCell="O15" sqref="O15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76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HKK-26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39860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69</v>
      </c>
      <c r="B4" s="94"/>
      <c r="C4" s="95">
        <f>AVERAGE(Moisture)</f>
        <v>20</v>
      </c>
      <c r="D4" s="29"/>
      <c r="E4" s="2" t="s">
        <v>7</v>
      </c>
      <c r="F4" s="2"/>
      <c r="G4" s="6">
        <f>TimeSinceLast</f>
        <v>24</v>
      </c>
      <c r="H4" s="19" t="s">
        <v>8</v>
      </c>
      <c r="I4" s="2"/>
      <c r="J4" s="6" t="str">
        <f>AmbientTemperature</f>
        <v>20F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68</v>
      </c>
      <c r="B5" s="94"/>
      <c r="C5" s="95">
        <f>SUM(PcWt)+WtKindl-UnburnedFuel</f>
        <v>69.400000000000006</v>
      </c>
      <c r="D5" s="29"/>
      <c r="E5" s="2" t="s">
        <v>10</v>
      </c>
      <c r="F5" s="20"/>
      <c r="G5" s="18">
        <f>(StartTime)</f>
        <v>0.37916666666666665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67</v>
      </c>
      <c r="B6" s="94"/>
      <c r="C6" s="96">
        <f>KindlingWeight</f>
        <v>4.5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21" outlineLevel="1">
      <c r="A7" s="94" t="s">
        <v>49</v>
      </c>
      <c r="B7" s="94"/>
      <c r="C7" s="96">
        <f>COUNT(PcWt)</f>
        <v>8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81</v>
      </c>
      <c r="O7" s="35" t="s">
        <v>5</v>
      </c>
      <c r="P7" s="35"/>
      <c r="Q7" s="66">
        <v>39860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>
        <v>24</v>
      </c>
      <c r="O8" s="35" t="s">
        <v>40</v>
      </c>
      <c r="P8" s="35"/>
      <c r="Q8" s="45" t="s">
        <v>42</v>
      </c>
    </row>
    <row r="9" spans="1:21" outlineLevel="1">
      <c r="A9" s="94" t="s">
        <v>66</v>
      </c>
      <c r="B9" s="94"/>
      <c r="C9" s="95">
        <f>AVERAGE(PcWt)</f>
        <v>8.1125000000000007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0.37916666666666665</v>
      </c>
      <c r="O9" s="35" t="s">
        <v>8</v>
      </c>
      <c r="P9" s="35"/>
      <c r="Q9" s="32" t="s">
        <v>79</v>
      </c>
    </row>
    <row r="10" spans="1:21" outlineLevel="1">
      <c r="A10" s="94" t="s">
        <v>70</v>
      </c>
      <c r="B10" s="94"/>
      <c r="C10" s="97">
        <v>1.67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80</v>
      </c>
      <c r="Q10" s="45"/>
    </row>
    <row r="11" spans="1:21" outlineLevel="1">
      <c r="A11" s="94" t="s">
        <v>71</v>
      </c>
      <c r="B11" s="94"/>
      <c r="C11" s="98">
        <f>AVERAGE(StackTemp)</f>
        <v>374.28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78</v>
      </c>
      <c r="Q11" s="29"/>
    </row>
    <row r="12" spans="1:21" outlineLevel="1">
      <c r="A12" s="94" t="s">
        <v>51</v>
      </c>
      <c r="B12" s="94"/>
      <c r="C12" s="97">
        <f>G14</f>
        <v>13.62</v>
      </c>
      <c r="D12" s="29"/>
      <c r="E12" s="23" t="s">
        <v>74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21">
      <c r="A13" s="94" t="s">
        <v>52</v>
      </c>
      <c r="B13" s="94"/>
      <c r="C13" s="97">
        <f>AVERAGE(CO)/10000</f>
        <v>0.122951</v>
      </c>
      <c r="D13" s="29"/>
      <c r="E13" s="81"/>
      <c r="F13" s="83" t="s">
        <v>18</v>
      </c>
      <c r="G13" s="83" t="s">
        <v>19</v>
      </c>
      <c r="H13" s="83" t="s">
        <v>75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73</v>
      </c>
      <c r="B14" s="94"/>
      <c r="C14" s="97">
        <f>SQRT(528/(460+AvStackTemp))</f>
        <v>0.79553821223776533</v>
      </c>
      <c r="D14" s="68"/>
      <c r="E14" s="84"/>
      <c r="F14" s="85">
        <v>374.28</v>
      </c>
      <c r="G14" s="104">
        <v>13.62</v>
      </c>
      <c r="H14" s="104">
        <v>1229.51</v>
      </c>
      <c r="I14" s="104"/>
      <c r="J14" s="74"/>
      <c r="L14" s="1" t="s">
        <v>20</v>
      </c>
      <c r="N14" s="54" t="s">
        <v>63</v>
      </c>
      <c r="O14" s="89">
        <v>2222</v>
      </c>
      <c r="P14" s="44"/>
      <c r="Q14" s="48"/>
    </row>
    <row r="15" spans="1:21">
      <c r="A15" s="94" t="s">
        <v>53</v>
      </c>
      <c r="B15" s="94"/>
      <c r="C15" s="99">
        <f>20.9/(20.9-_AvO2)</f>
        <v>2.8708791208791209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64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15.111594991834515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77</v>
      </c>
      <c r="B17" s="94"/>
      <c r="C17" s="97">
        <f>(8.05+0.0035*(AvStackTemp-70))+(2.58+0.00114*AvStackTemp)</f>
        <v>12.1216592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55</v>
      </c>
      <c r="B18" s="94"/>
      <c r="C18" s="97">
        <f>gmKgCO*9.75/86</f>
        <v>2.3730551422861295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56</v>
      </c>
      <c r="B19" s="94"/>
      <c r="C19" s="97">
        <f>gmKgCondar*33/86</f>
        <v>0.28295202900197763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57</v>
      </c>
      <c r="B20" s="94"/>
      <c r="C20" s="97">
        <f>((1.5*DilutionFactor*(AvStackTemp-70))/8600)*100</f>
        <v>15.236356376181959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72</v>
      </c>
      <c r="B21" s="101"/>
      <c r="C21" s="101">
        <f xml:space="preserve"> Catch</f>
        <v>4.489999999999994E-2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58</v>
      </c>
      <c r="B22" s="56"/>
      <c r="C22" s="57">
        <f>(Catch/RunLength)*3.04*(DilutionFactor)/(0.4*StackTempFactor)</f>
        <v>0.73739013618697202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11</v>
      </c>
      <c r="O22" s="34">
        <v>20</v>
      </c>
      <c r="P22" s="34"/>
      <c r="Q22" s="34"/>
      <c r="R22" s="32"/>
    </row>
    <row r="23" spans="1:18">
      <c r="A23" s="58" t="s">
        <v>59</v>
      </c>
      <c r="B23" s="59"/>
      <c r="C23" s="60">
        <f>59.3*AvCO*DilutionFactor</f>
        <v>20.931563306318683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9.6</v>
      </c>
      <c r="O23" s="34">
        <v>20</v>
      </c>
      <c r="P23" s="34"/>
      <c r="Q23" s="34"/>
      <c r="R23" s="32"/>
    </row>
    <row r="24" spans="1:18">
      <c r="A24" s="58" t="s">
        <v>60</v>
      </c>
      <c r="B24" s="61"/>
      <c r="C24" s="60">
        <f>100-COLoss-HCLoss</f>
        <v>97.34399282871189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9.1</v>
      </c>
      <c r="O24" s="34">
        <v>20</v>
      </c>
      <c r="P24" s="34"/>
      <c r="Q24" s="34"/>
      <c r="R24" s="32"/>
    </row>
    <row r="25" spans="1:18">
      <c r="A25" s="58" t="s">
        <v>61</v>
      </c>
      <c r="B25" s="59"/>
      <c r="C25" s="60">
        <f>100-DryGasLoss-BoilWaterLoss</f>
        <v>72.641984423818045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8.3000000000000007</v>
      </c>
      <c r="O25" s="34">
        <v>20</v>
      </c>
      <c r="P25" s="34"/>
      <c r="Q25" s="34"/>
      <c r="R25" s="32"/>
    </row>
    <row r="26" spans="1:18">
      <c r="A26" s="62" t="s">
        <v>62</v>
      </c>
      <c r="B26" s="63"/>
      <c r="C26" s="64">
        <f>HTransEffic*CombustEffic/100</f>
        <v>70.71260810815545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7.8</v>
      </c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7.1</v>
      </c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6.6</v>
      </c>
      <c r="O28" s="34">
        <v>20</v>
      </c>
      <c r="P28" s="34"/>
      <c r="Q28" s="34"/>
      <c r="R28" s="32"/>
    </row>
    <row r="29" spans="1:18">
      <c r="A29" s="14">
        <v>1</v>
      </c>
      <c r="B29" s="45">
        <v>1.0081</v>
      </c>
      <c r="C29" s="45">
        <v>1.0506</v>
      </c>
      <c r="D29" s="5">
        <f t="shared" ref="D29:D34" si="0">IF(FiltDirty-FiltClean&gt;0,FiltDirty-FiltClean,0)</f>
        <v>4.2499999999999982E-2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5.4</v>
      </c>
      <c r="O29" s="34">
        <v>20</v>
      </c>
      <c r="P29" s="34"/>
      <c r="Q29" s="34"/>
      <c r="R29" s="32"/>
    </row>
    <row r="30" spans="1:18">
      <c r="A30" s="14">
        <v>2</v>
      </c>
      <c r="B30" s="45">
        <v>1.0014000000000001</v>
      </c>
      <c r="C30" s="45">
        <v>1.0038</v>
      </c>
      <c r="D30" s="5">
        <f t="shared" si="0"/>
        <v>2.3999999999999577E-3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4.489999999999994E-2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65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2009-02-19T19:13:30Z</dcterms:modified>
</cp:coreProperties>
</file>