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F45" i="1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6"/>
  <c r="C9" s="1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<sst xmlns="http://schemas.openxmlformats.org/spreadsheetml/2006/main" count="100" uniqueCount="86">
  <si>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</si>
  <si>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</si>
  <si>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</si>
  <si>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</si>
  <si>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</si>
  <si>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</si>
  <si>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</si>
  <si>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</si>
  <si>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</si>
  <si>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</si>
  <si>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</si>
  <si>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</si>
  <si>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</si>
  <si>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</si>
  <si>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</si>
  <si>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</si>
  <si>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</si>
  <si>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</si>
  <si>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</si>
  <si>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</si>
  <si>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</si>
  <si>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</si>
  <si>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</si>
  <si>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</si>
  <si>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</si>
  <si>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</si>
  <si>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</si>
  <si>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</si>
  <si>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</si>
  <si>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</si>
  <si>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</si>
  <si>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</si>
  <si>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</si>
  <si>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</si>
  <si>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</si>
  <si>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</si>
  <si>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</si>
  <si>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</si>
  <si>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</si>
  <si>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</si>
  <si>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</si>
  <si>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</si>
  <si>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</si>
  <si>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</si>
  <si>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</si>
  <si>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</si>
  <si>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</si>
  <si>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</si>
  <si>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</si>
  <si>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</si>
  <si>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</si>
  <si>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</si>
  <si>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</si>
  <si>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</si>
  <si>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</si>
  <si>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</si>
  <si>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</si>
  <si>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</si>
  <si>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</si>
  <si>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</si>
  <si>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</si>
  <si>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</si>
  <si>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</si>
  <si>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</si>
  <si>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</si>
  <si>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</si>
  <si>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</si>
  <si>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</si>
  <si>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</si>
  <si>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</si>
  <si>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</si>
  <si>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oak</t>
  </si>
  <si>
    <t>wood</t>
  </si>
  <si>
    <t>MHA</t>
  </si>
  <si>
    <t>48hrs</t>
  </si>
  <si>
    <t>moist est 15%</t>
  </si>
  <si>
    <t>Revised Feb 3/19</t>
  </si>
  <si>
    <t>13F</t>
  </si>
  <si>
    <t>4mph wind , cloudy</t>
  </si>
  <si>
    <t>bulk weighed</t>
  </si>
  <si>
    <t>MHA 1911</t>
  </si>
  <si>
    <t>white birch horizontal 2-3-4-3-1</t>
  </si>
  <si>
    <t>11:04am</t>
  </si>
  <si>
    <t>T</t>
  </si>
  <si>
    <t>Amps</t>
  </si>
  <si>
    <t>Vacuum Amperage Draw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</si>
</sst>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4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Border="1"/>
    <xf numFmtId="0" fontId="13" fillId="0" borderId="0" xfId="0" applyFont="1"/>
    <xf numFmtId="2" fontId="1" fillId="8" borderId="0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'HK-D01'!$Q$2</c:f>
              <c:strCache>
                <c:ptCount val="1"/>
                <c:pt idx="0">
                  <c:v>Amps</c:v>
                </c:pt>
              </c:strCache>
            </c:strRef>
          </c:tx>
          <c:xVal>
            <c:numRef>
              <c:f>'HK-D01'!$P$3:$P$8</c:f>
              <c:numCache>
                <c:formatCode>General</c:formatCode>
                <c:ptCount val="6"/>
                <c:pt idx="0">
                  <c:v>0</c:v>
                </c:pt>
                <c:pt idx="1">
                  <c:v>21</c:v>
                </c:pt>
                <c:pt idx="2">
                  <c:v>34</c:v>
                </c:pt>
                <c:pt idx="3">
                  <c:v>71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'HK-D01'!$Q$3:$Q$8</c:f>
              <c:numCache>
                <c:formatCode>General</c:formatCode>
                <c:ptCount val="6"/>
                <c:pt idx="0">
                  <c:v>2.36</c:v>
                </c:pt>
                <c:pt idx="1">
                  <c:v>3.85</c:v>
                </c:pt>
                <c:pt idx="2">
                  <c:v>3.85</c:v>
                </c:pt>
                <c:pt idx="3">
                  <c:v>4.13</c:v>
                </c:pt>
                <c:pt idx="4">
                  <c:v>4.16</c:v>
                </c:pt>
                <c:pt idx="5">
                  <c:v>4.5199999999999996</c:v>
                </c:pt>
              </c:numCache>
            </c:numRef>
          </c:yVal>
          <c:smooth val="1"/>
        </c:ser>
        <c:axId val="80467456"/>
        <c:axId val="80465920"/>
      </c:scatterChart>
      <c:valAx>
        <c:axId val="80467456"/>
        <c:scaling>
          <c:orientation val="minMax"/>
          <c:max val="90"/>
          <c:min val="0"/>
        </c:scaling>
        <c:axPos val="b"/>
        <c:numFmt formatCode="General" sourceLinked="1"/>
        <c:tickLblPos val="nextTo"/>
        <c:crossAx val="80465920"/>
        <c:crosses val="autoZero"/>
        <c:crossBetween val="midCat"/>
      </c:valAx>
      <c:valAx>
        <c:axId val="80465920"/>
        <c:scaling>
          <c:orientation val="minMax"/>
          <c:max val="8"/>
        </c:scaling>
        <c:axPos val="l"/>
        <c:majorGridlines/>
        <c:numFmt formatCode="General" sourceLinked="1"/>
        <c:tickLblPos val="nextTo"/>
        <c:crossAx val="804674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561975</xdr:colOff>
      <xdr:row>9</xdr:row>
      <xdr:rowOff>19050</xdr:rowOff>
    </xdr:from>
    <xdr:to>
      <xdr:col>22</xdr:col>
      <xdr:colOff>257175</xdr:colOff>
      <xdr:row>25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X24" sqref="X24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3" t="s">
        <v>68</v>
      </c>
      <c r="B1" s="94"/>
      <c r="C1" s="94"/>
      <c r="D1" s="94"/>
      <c r="E1" s="94"/>
      <c r="F1" s="94"/>
      <c r="G1" s="94"/>
      <c r="H1" s="94"/>
      <c r="I1" s="94"/>
      <c r="J1" s="95"/>
      <c r="K1" s="2"/>
      <c r="L1" s="50" t="s">
        <v>67</v>
      </c>
      <c r="M1" s="18"/>
      <c r="N1" s="51"/>
      <c r="P1" s="1" t="s">
        <v>85</v>
      </c>
    </row>
    <row r="2" spans="1:17" outlineLevel="1">
      <c r="A2" s="1" t="s">
        <v>76</v>
      </c>
      <c r="C2" s="20"/>
      <c r="D2" s="20"/>
      <c r="E2" s="20"/>
      <c r="F2" s="20"/>
      <c r="G2" s="20"/>
      <c r="H2" s="2"/>
      <c r="I2" s="2"/>
      <c r="J2" s="2"/>
      <c r="K2"/>
      <c r="L2" s="63">
        <v>1</v>
      </c>
      <c r="M2" s="63">
        <v>46</v>
      </c>
      <c r="N2" s="63">
        <v>91</v>
      </c>
      <c r="O2"/>
      <c r="P2" t="s">
        <v>83</v>
      </c>
      <c r="Q2" t="s">
        <v>84</v>
      </c>
    </row>
    <row r="3" spans="1:17" ht="19.5" outlineLevel="1">
      <c r="A3" s="19" t="s">
        <v>2</v>
      </c>
      <c r="B3" s="18"/>
      <c r="C3" s="52" t="s">
        <v>80</v>
      </c>
      <c r="D3" s="20"/>
      <c r="E3" s="24" t="s">
        <v>0</v>
      </c>
      <c r="F3" s="23"/>
      <c r="G3" s="53" t="s">
        <v>1</v>
      </c>
      <c r="H3" s="54"/>
      <c r="I3" s="54"/>
      <c r="J3" s="55"/>
      <c r="K3"/>
      <c r="L3" s="63">
        <v>2</v>
      </c>
      <c r="M3" s="63">
        <v>47</v>
      </c>
      <c r="N3" s="63">
        <v>92</v>
      </c>
      <c r="P3" s="1">
        <v>0</v>
      </c>
      <c r="Q3" s="1">
        <v>2.36</v>
      </c>
    </row>
    <row r="4" spans="1:17" outlineLevel="1">
      <c r="A4" s="42" t="s">
        <v>55</v>
      </c>
      <c r="B4" s="42"/>
      <c r="C4" s="43">
        <v>15</v>
      </c>
      <c r="D4" s="20"/>
      <c r="E4" s="20"/>
      <c r="F4" s="20"/>
      <c r="G4" s="56" t="s">
        <v>4</v>
      </c>
      <c r="H4" s="57"/>
      <c r="I4" s="57"/>
      <c r="J4" s="58"/>
      <c r="K4"/>
      <c r="L4" s="63">
        <v>3</v>
      </c>
      <c r="M4" s="63">
        <v>48</v>
      </c>
      <c r="N4" s="63">
        <v>93</v>
      </c>
      <c r="O4"/>
      <c r="P4" s="1">
        <v>21</v>
      </c>
      <c r="Q4" s="1">
        <v>3.85</v>
      </c>
    </row>
    <row r="5" spans="1:17" outlineLevel="1">
      <c r="A5" s="42" t="s">
        <v>54</v>
      </c>
      <c r="B5" s="42"/>
      <c r="C5" s="43">
        <v>57.9</v>
      </c>
      <c r="D5" s="20"/>
      <c r="K5"/>
      <c r="L5" s="63">
        <v>4</v>
      </c>
      <c r="M5" s="63">
        <v>49</v>
      </c>
      <c r="N5" s="63">
        <v>94</v>
      </c>
      <c r="P5" s="1">
        <v>34</v>
      </c>
      <c r="Q5" s="1">
        <v>3.85</v>
      </c>
    </row>
    <row r="6" spans="1:17" outlineLevel="1">
      <c r="A6" s="42" t="s">
        <v>53</v>
      </c>
      <c r="B6" s="42"/>
      <c r="C6" s="44">
        <f>KindlingWeight</f>
        <v>2</v>
      </c>
      <c r="D6" s="20"/>
      <c r="E6" s="17" t="s">
        <v>30</v>
      </c>
      <c r="F6" s="18"/>
      <c r="G6" s="62" t="s">
        <v>73</v>
      </c>
      <c r="H6" s="17" t="s">
        <v>3</v>
      </c>
      <c r="I6" s="18"/>
      <c r="J6" s="60">
        <v>43507</v>
      </c>
      <c r="K6"/>
      <c r="L6" s="63">
        <v>5</v>
      </c>
      <c r="M6" s="63">
        <v>50</v>
      </c>
      <c r="N6" s="63">
        <v>95</v>
      </c>
      <c r="P6" s="1">
        <v>71</v>
      </c>
      <c r="Q6" s="1">
        <v>4.13</v>
      </c>
    </row>
    <row r="7" spans="1:17" outlineLevel="1">
      <c r="A7" s="42" t="s">
        <v>37</v>
      </c>
      <c r="B7" s="42"/>
      <c r="C7" s="44">
        <v>13</v>
      </c>
      <c r="D7" s="20"/>
      <c r="E7" s="2" t="s">
        <v>5</v>
      </c>
      <c r="F7" s="2"/>
      <c r="G7" s="61" t="s">
        <v>74</v>
      </c>
      <c r="H7" s="14" t="s">
        <v>63</v>
      </c>
      <c r="I7" s="2"/>
      <c r="J7" s="59" t="s">
        <v>77</v>
      </c>
      <c r="K7"/>
      <c r="L7" s="63">
        <v>6</v>
      </c>
      <c r="M7" s="63">
        <v>51</v>
      </c>
      <c r="N7" s="63">
        <v>96</v>
      </c>
      <c r="P7" s="1">
        <v>80</v>
      </c>
      <c r="Q7" s="1">
        <v>4.16</v>
      </c>
    </row>
    <row r="8" spans="1:17" outlineLevel="1">
      <c r="A8" s="42" t="s">
        <v>38</v>
      </c>
      <c r="B8" s="42"/>
      <c r="C8" s="45" t="e">
        <f>(AVERAGE(Length)+SUM(Circumf))/(WtFuel-WtKindl)</f>
        <v>#DIV/0!</v>
      </c>
      <c r="D8" s="20"/>
      <c r="E8" s="1" t="s">
        <v>69</v>
      </c>
      <c r="G8" s="61"/>
      <c r="H8" s="21" t="s">
        <v>7</v>
      </c>
      <c r="I8" s="96" t="s">
        <v>78</v>
      </c>
      <c r="J8" s="96"/>
      <c r="K8"/>
      <c r="L8" s="63">
        <v>7</v>
      </c>
      <c r="M8" s="63">
        <v>52</v>
      </c>
      <c r="N8" s="63">
        <v>97</v>
      </c>
      <c r="P8" s="1">
        <v>90</v>
      </c>
      <c r="Q8" s="1">
        <v>4.5199999999999996</v>
      </c>
    </row>
    <row r="9" spans="1:17" outlineLevel="1">
      <c r="A9" s="42" t="s">
        <v>52</v>
      </c>
      <c r="B9" s="42"/>
      <c r="C9" s="43">
        <f>(C5-C6)/C7</f>
        <v>4.3</v>
      </c>
      <c r="K9"/>
      <c r="L9" s="63">
        <v>8</v>
      </c>
      <c r="M9" s="63">
        <v>53</v>
      </c>
      <c r="N9" s="63">
        <v>98</v>
      </c>
    </row>
    <row r="10" spans="1:17" ht="14.25" outlineLevel="1">
      <c r="A10" s="42" t="s">
        <v>56</v>
      </c>
      <c r="B10" s="42"/>
      <c r="C10" s="66">
        <v>1.5</v>
      </c>
      <c r="D10" s="20"/>
      <c r="E10" s="90" t="s">
        <v>66</v>
      </c>
      <c r="F10" s="91"/>
      <c r="G10" s="91"/>
      <c r="H10" s="92"/>
      <c r="I10" s="5"/>
      <c r="J10" s="16"/>
      <c r="K10"/>
      <c r="L10" s="63">
        <v>9</v>
      </c>
      <c r="M10" s="63">
        <v>54</v>
      </c>
      <c r="N10" s="63">
        <v>99</v>
      </c>
      <c r="O10" s="79"/>
    </row>
    <row r="11" spans="1:17" outlineLevel="1">
      <c r="A11" s="42" t="s">
        <v>57</v>
      </c>
      <c r="B11" s="42"/>
      <c r="C11" s="46">
        <f>StackTemp</f>
        <v>281.97000000000003</v>
      </c>
      <c r="D11" s="86"/>
      <c r="E11" s="65" t="s">
        <v>9</v>
      </c>
      <c r="F11" s="65" t="s">
        <v>65</v>
      </c>
      <c r="G11" s="65" t="s">
        <v>60</v>
      </c>
      <c r="H11" s="1" t="s">
        <v>64</v>
      </c>
      <c r="I11" s="2" t="s">
        <v>6</v>
      </c>
      <c r="J11" s="15"/>
      <c r="L11" s="63">
        <v>10</v>
      </c>
      <c r="M11" s="63">
        <v>55</v>
      </c>
      <c r="N11" s="63">
        <v>100</v>
      </c>
    </row>
    <row r="12" spans="1:17" outlineLevel="1">
      <c r="A12" s="42" t="s">
        <v>39</v>
      </c>
      <c r="B12" s="42"/>
      <c r="C12" s="45">
        <f>F12</f>
        <v>14.21</v>
      </c>
      <c r="D12" s="86"/>
      <c r="E12" s="61">
        <v>281.97000000000003</v>
      </c>
      <c r="F12" s="66">
        <v>14.21</v>
      </c>
      <c r="G12" s="78">
        <v>228.1</v>
      </c>
      <c r="H12" s="59"/>
      <c r="I12" s="85" t="s">
        <v>82</v>
      </c>
      <c r="J12" s="2"/>
      <c r="K12"/>
      <c r="L12" s="63">
        <v>11</v>
      </c>
      <c r="M12" s="63">
        <v>56</v>
      </c>
      <c r="N12" s="63">
        <v>101</v>
      </c>
    </row>
    <row r="13" spans="1:17">
      <c r="A13" s="42" t="s">
        <v>40</v>
      </c>
      <c r="B13" s="42"/>
      <c r="C13" s="45">
        <f>AVERAGE(ppm_CO)/10000</f>
        <v>2.281E-2</v>
      </c>
      <c r="D13" s="86"/>
      <c r="E13" s="67"/>
      <c r="F13" s="68"/>
      <c r="G13" s="68"/>
      <c r="H13" s="68"/>
      <c r="I13" s="69"/>
      <c r="J13" s="2"/>
      <c r="K13"/>
      <c r="L13" s="63">
        <v>12</v>
      </c>
      <c r="M13" s="63">
        <v>57</v>
      </c>
      <c r="N13" s="63">
        <v>102</v>
      </c>
    </row>
    <row r="14" spans="1:17">
      <c r="A14" s="42" t="s">
        <v>59</v>
      </c>
      <c r="B14" s="42"/>
      <c r="C14" s="45">
        <f>SQRT(528/(460+StackTemp))</f>
        <v>0.84357517042430452</v>
      </c>
      <c r="D14" s="87"/>
      <c r="E14" s="90" t="s">
        <v>8</v>
      </c>
      <c r="F14" s="91"/>
      <c r="G14" s="91"/>
      <c r="H14" s="91"/>
      <c r="I14" s="91"/>
      <c r="J14" s="92"/>
      <c r="L14" s="63">
        <v>13</v>
      </c>
      <c r="M14" s="63">
        <v>58</v>
      </c>
      <c r="N14" s="63">
        <v>103</v>
      </c>
    </row>
    <row r="15" spans="1:17">
      <c r="A15" s="42" t="s">
        <v>41</v>
      </c>
      <c r="B15" s="42"/>
      <c r="C15" s="47">
        <f>20.9/(20.9-_AvO2)</f>
        <v>3.1240657698056808</v>
      </c>
      <c r="D15" s="86"/>
      <c r="E15" s="20"/>
      <c r="F15" s="20"/>
      <c r="G15" s="20"/>
      <c r="H15" s="26"/>
      <c r="I15" s="2"/>
      <c r="J15" s="27"/>
      <c r="L15" s="63">
        <v>14</v>
      </c>
      <c r="M15" s="63">
        <v>59</v>
      </c>
      <c r="N15" s="63">
        <v>104</v>
      </c>
    </row>
    <row r="16" spans="1:17">
      <c r="A16" s="42" t="s">
        <v>42</v>
      </c>
      <c r="B16" s="42"/>
      <c r="C16" s="45">
        <f>((WtFuel-(UnburnedFuel*(1+AvMoisture/100)))/RunLength)*(1-(AvMoisture/100))/2.2</f>
        <v>14.913636363636364</v>
      </c>
      <c r="D16" s="20"/>
      <c r="E16" s="1" t="s">
        <v>10</v>
      </c>
      <c r="G16" s="76" t="s">
        <v>72</v>
      </c>
      <c r="H16" s="70" t="s">
        <v>81</v>
      </c>
      <c r="I16" s="71"/>
      <c r="J16" s="72"/>
      <c r="L16" s="63">
        <v>15</v>
      </c>
      <c r="M16" s="63">
        <v>60</v>
      </c>
      <c r="N16" s="63">
        <v>105</v>
      </c>
    </row>
    <row r="17" spans="1:15">
      <c r="A17" s="42" t="s">
        <v>61</v>
      </c>
      <c r="B17" s="42"/>
      <c r="C17" s="45">
        <f>(8.05+0.0035*(StackTemp-70))+(2.58+0.00114*StackTemp)</f>
        <v>11.693340800000001</v>
      </c>
      <c r="D17" s="20"/>
      <c r="E17" s="20"/>
      <c r="F17" s="20"/>
      <c r="G17" s="20"/>
      <c r="H17" s="73" t="s">
        <v>79</v>
      </c>
      <c r="I17" s="71"/>
      <c r="J17" s="72"/>
      <c r="L17" s="63">
        <v>16</v>
      </c>
      <c r="M17" s="63">
        <v>61</v>
      </c>
      <c r="N17" s="63">
        <v>106</v>
      </c>
    </row>
    <row r="18" spans="1:15">
      <c r="A18" s="42" t="s">
        <v>43</v>
      </c>
      <c r="B18" s="42"/>
      <c r="C18" s="45">
        <f>gmKgCO*9.75/86</f>
        <v>0.47907809221503822</v>
      </c>
      <c r="D18" s="20"/>
      <c r="E18" s="2" t="s">
        <v>11</v>
      </c>
      <c r="F18" s="2"/>
      <c r="G18" s="83">
        <v>2</v>
      </c>
      <c r="H18" s="73" t="s">
        <v>75</v>
      </c>
      <c r="I18" s="71"/>
      <c r="J18" s="72"/>
      <c r="L18" s="63">
        <v>17</v>
      </c>
      <c r="M18" s="63">
        <v>62</v>
      </c>
      <c r="N18" s="63">
        <v>107</v>
      </c>
    </row>
    <row r="19" spans="1:15">
      <c r="A19" s="42" t="s">
        <v>44</v>
      </c>
      <c r="B19" s="42"/>
      <c r="C19" s="45">
        <f>gmKgCondar*33/86</f>
        <v>0.31320122990566829</v>
      </c>
      <c r="D19" s="20"/>
      <c r="E19" s="1" t="s">
        <v>12</v>
      </c>
      <c r="G19" s="77"/>
      <c r="H19" s="56"/>
      <c r="I19" s="74"/>
      <c r="J19" s="75"/>
      <c r="L19" s="63">
        <v>18</v>
      </c>
      <c r="M19" s="63">
        <v>63</v>
      </c>
      <c r="N19" s="63">
        <v>108</v>
      </c>
    </row>
    <row r="20" spans="1:15">
      <c r="A20" s="42" t="s">
        <v>45</v>
      </c>
      <c r="B20" s="42"/>
      <c r="C20" s="45">
        <f>((1.5*DilutionFactor*(StackTemp-70))/8600)*100</f>
        <v>11.550143393471691</v>
      </c>
      <c r="D20" s="20"/>
      <c r="L20" s="63">
        <v>19</v>
      </c>
      <c r="M20" s="63">
        <v>64</v>
      </c>
      <c r="N20" s="63">
        <v>109</v>
      </c>
    </row>
    <row r="21" spans="1:15">
      <c r="A21" s="48" t="s">
        <v>58</v>
      </c>
      <c r="B21" s="49"/>
      <c r="C21" s="49">
        <f xml:space="preserve"> Catch</f>
        <v>4.3500000000000094E-2</v>
      </c>
      <c r="D21" s="20"/>
      <c r="E21" s="17" t="s">
        <v>13</v>
      </c>
      <c r="F21" s="10"/>
      <c r="G21" s="10"/>
      <c r="H21" s="10"/>
      <c r="I21" s="10"/>
      <c r="J21" s="51"/>
      <c r="L21" s="63">
        <v>20</v>
      </c>
      <c r="M21" s="63">
        <v>65</v>
      </c>
      <c r="N21" s="63">
        <v>110</v>
      </c>
    </row>
    <row r="22" spans="1:15">
      <c r="A22" s="42" t="s">
        <v>48</v>
      </c>
      <c r="B22" s="42"/>
      <c r="C22" s="89">
        <f>100-COLoss-HCLoss</f>
        <v>99.207720677879294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3">
        <v>21</v>
      </c>
      <c r="M22" s="63">
        <v>66</v>
      </c>
      <c r="N22" s="63">
        <v>111</v>
      </c>
      <c r="O22" s="1" t="s">
        <v>70</v>
      </c>
    </row>
    <row r="23" spans="1:15">
      <c r="A23" s="42" t="s">
        <v>49</v>
      </c>
      <c r="B23" s="42"/>
      <c r="C23" s="45">
        <f>100-DryGasLoss-BoilWaterLoss</f>
        <v>76.756515806528313</v>
      </c>
      <c r="D23" s="20"/>
      <c r="E23" s="64">
        <v>1</v>
      </c>
      <c r="F23" s="66"/>
      <c r="G23" s="66"/>
      <c r="H23" s="78"/>
      <c r="I23" s="78"/>
      <c r="J23" s="61" t="s">
        <v>71</v>
      </c>
      <c r="K23" s="61"/>
      <c r="L23" s="63">
        <v>22</v>
      </c>
      <c r="M23" s="63">
        <v>67</v>
      </c>
      <c r="N23" s="63">
        <v>112</v>
      </c>
      <c r="O23" s="1">
        <f t="shared" ref="O23:O42" si="0">PcWt*Moisture</f>
        <v>0</v>
      </c>
    </row>
    <row r="24" spans="1:15">
      <c r="A24" s="28" t="s">
        <v>46</v>
      </c>
      <c r="B24" s="29"/>
      <c r="C24" s="30">
        <f>(Catch/RunLength)*3.04*(DilutionFactor)/(0.4*StackTempFactor)</f>
        <v>0.81622138702689317</v>
      </c>
      <c r="D24" s="86"/>
      <c r="E24" s="64">
        <v>2</v>
      </c>
      <c r="F24" s="66"/>
      <c r="G24" s="66"/>
      <c r="H24" s="78"/>
      <c r="I24" s="78"/>
      <c r="J24" s="61" t="s">
        <v>71</v>
      </c>
      <c r="K24" s="61"/>
      <c r="L24" s="63">
        <v>23</v>
      </c>
      <c r="M24" s="63">
        <v>68</v>
      </c>
      <c r="N24" s="63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4.2257144544095677</v>
      </c>
      <c r="D25" s="86"/>
      <c r="E25" s="64">
        <v>3</v>
      </c>
      <c r="F25" s="66"/>
      <c r="G25" s="66"/>
      <c r="H25" s="78"/>
      <c r="I25" s="78"/>
      <c r="J25" s="61" t="s">
        <v>71</v>
      </c>
      <c r="K25" s="61"/>
      <c r="L25" s="63">
        <v>24</v>
      </c>
      <c r="M25" s="63">
        <v>69</v>
      </c>
      <c r="N25" s="63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76.148389803412869</v>
      </c>
      <c r="D26" s="88"/>
      <c r="E26" s="64">
        <v>4</v>
      </c>
      <c r="F26" s="66"/>
      <c r="G26" s="66"/>
      <c r="H26" s="78"/>
      <c r="I26" s="78"/>
      <c r="J26" s="61" t="s">
        <v>71</v>
      </c>
      <c r="K26" s="61"/>
      <c r="L26" s="63">
        <v>25</v>
      </c>
      <c r="M26" s="63">
        <v>70</v>
      </c>
      <c r="N26" s="63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4">
        <v>5</v>
      </c>
      <c r="F27" s="66"/>
      <c r="G27" s="66"/>
      <c r="H27" s="78"/>
      <c r="I27" s="78"/>
      <c r="J27" s="61" t="s">
        <v>71</v>
      </c>
      <c r="K27" s="61"/>
      <c r="L27" s="63">
        <v>26</v>
      </c>
      <c r="M27" s="63">
        <v>71</v>
      </c>
      <c r="N27" s="63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4">
        <v>6</v>
      </c>
      <c r="F28" s="66"/>
      <c r="G28" s="66"/>
      <c r="H28" s="78"/>
      <c r="I28" s="78"/>
      <c r="J28" s="61" t="s">
        <v>71</v>
      </c>
      <c r="K28" s="61"/>
      <c r="L28" s="63">
        <v>27</v>
      </c>
      <c r="M28" s="63">
        <v>72</v>
      </c>
      <c r="N28" s="63">
        <v>117</v>
      </c>
      <c r="O28" s="1">
        <f t="shared" si="0"/>
        <v>0</v>
      </c>
    </row>
    <row r="29" spans="1:15">
      <c r="A29" s="11">
        <v>1</v>
      </c>
      <c r="B29" s="25">
        <v>1.0270999999999999</v>
      </c>
      <c r="C29" s="25">
        <v>1.0688</v>
      </c>
      <c r="D29" s="4">
        <f t="shared" ref="D29:D34" si="1">IF(FiltDirty-FiltClean&gt;0,FiltDirty-FiltClean,0)</f>
        <v>4.170000000000007E-2</v>
      </c>
      <c r="E29" s="64">
        <v>7</v>
      </c>
      <c r="F29" s="66"/>
      <c r="G29" s="66"/>
      <c r="H29" s="78"/>
      <c r="I29" s="78"/>
      <c r="J29" s="61" t="s">
        <v>71</v>
      </c>
      <c r="K29" s="61"/>
      <c r="L29" s="63">
        <v>28</v>
      </c>
      <c r="M29" s="63">
        <v>73</v>
      </c>
      <c r="N29" s="63">
        <v>118</v>
      </c>
      <c r="O29" s="1">
        <f t="shared" si="0"/>
        <v>0</v>
      </c>
    </row>
    <row r="30" spans="1:15">
      <c r="A30" s="11">
        <v>2</v>
      </c>
      <c r="B30" s="25">
        <v>1.0004999999999999</v>
      </c>
      <c r="C30" s="25">
        <v>1.0024999999999999</v>
      </c>
      <c r="D30" s="4">
        <f t="shared" si="1"/>
        <v>2.0000000000000018E-3</v>
      </c>
      <c r="E30" s="64">
        <v>8</v>
      </c>
      <c r="F30" s="66"/>
      <c r="G30" s="66"/>
      <c r="H30" s="78"/>
      <c r="I30" s="78"/>
      <c r="J30" s="61" t="s">
        <v>71</v>
      </c>
      <c r="K30" s="61"/>
      <c r="L30" s="63">
        <v>29</v>
      </c>
      <c r="M30" s="63">
        <v>74</v>
      </c>
      <c r="N30" s="63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4">
        <v>9</v>
      </c>
      <c r="F31" s="66"/>
      <c r="G31" s="66"/>
      <c r="H31" s="78"/>
      <c r="I31" s="78"/>
      <c r="J31" s="61" t="s">
        <v>71</v>
      </c>
      <c r="K31" s="61"/>
      <c r="L31" s="63">
        <v>30</v>
      </c>
      <c r="M31" s="63">
        <v>75</v>
      </c>
      <c r="N31" s="63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4">
        <v>10</v>
      </c>
      <c r="F32" s="66"/>
      <c r="G32" s="66"/>
      <c r="H32" s="78"/>
      <c r="I32" s="78"/>
      <c r="J32" s="61" t="s">
        <v>71</v>
      </c>
      <c r="K32" s="61"/>
      <c r="L32" s="63">
        <v>31</v>
      </c>
      <c r="M32" s="63">
        <v>76</v>
      </c>
      <c r="N32" s="63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4">
        <v>11</v>
      </c>
      <c r="F33" s="66"/>
      <c r="G33" s="66"/>
      <c r="H33" s="78"/>
      <c r="I33" s="78"/>
      <c r="J33" s="61" t="s">
        <v>71</v>
      </c>
      <c r="K33" s="61"/>
      <c r="L33" s="63">
        <v>32</v>
      </c>
      <c r="M33" s="63">
        <v>77</v>
      </c>
      <c r="N33" s="63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4">
        <v>12</v>
      </c>
      <c r="F34" s="66"/>
      <c r="G34" s="66"/>
      <c r="H34" s="78"/>
      <c r="I34" s="78"/>
      <c r="J34" s="61" t="s">
        <v>71</v>
      </c>
      <c r="K34" s="61"/>
      <c r="L34" s="63">
        <v>33</v>
      </c>
      <c r="M34" s="63">
        <v>78</v>
      </c>
      <c r="N34" s="63">
        <v>123</v>
      </c>
      <c r="O34" s="1">
        <f t="shared" si="0"/>
        <v>0</v>
      </c>
    </row>
    <row r="35" spans="1:15">
      <c r="A35" s="12" t="s">
        <v>26</v>
      </c>
      <c r="B35" s="25">
        <v>1.0203</v>
      </c>
      <c r="C35" s="25">
        <v>1.0205</v>
      </c>
      <c r="D35" s="4"/>
      <c r="E35" s="64">
        <v>13</v>
      </c>
      <c r="F35" s="66"/>
      <c r="G35" s="66"/>
      <c r="H35" s="78"/>
      <c r="I35" s="78"/>
      <c r="J35" s="61" t="s">
        <v>71</v>
      </c>
      <c r="K35" s="61"/>
      <c r="L35" s="63">
        <v>34</v>
      </c>
      <c r="M35" s="63">
        <v>79</v>
      </c>
      <c r="N35" s="63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7"/>
      <c r="E36" s="64">
        <v>14</v>
      </c>
      <c r="F36" s="66"/>
      <c r="G36" s="66"/>
      <c r="H36" s="78"/>
      <c r="I36" s="78"/>
      <c r="J36" s="61"/>
      <c r="K36" s="61"/>
      <c r="L36" s="63">
        <v>35</v>
      </c>
      <c r="M36" s="63">
        <v>80</v>
      </c>
      <c r="N36" s="63">
        <v>125</v>
      </c>
      <c r="O36" s="1">
        <f t="shared" si="0"/>
        <v>0</v>
      </c>
    </row>
    <row r="37" spans="1:15">
      <c r="A37" s="38"/>
      <c r="B37" s="4" t="s">
        <v>28</v>
      </c>
      <c r="C37" s="4"/>
      <c r="D37" s="4">
        <f>+COUNT(FiltClean)*(AVERAGE(CleanControl)-AVERAGE(DirtyControl))</f>
        <v>-1.9999999999997797E-4</v>
      </c>
      <c r="E37" s="64">
        <v>15</v>
      </c>
      <c r="F37" s="64"/>
      <c r="J37" s="64"/>
      <c r="L37" s="63">
        <v>36</v>
      </c>
      <c r="M37" s="63">
        <v>81</v>
      </c>
      <c r="N37" s="63">
        <v>126</v>
      </c>
      <c r="O37" s="1">
        <f t="shared" si="0"/>
        <v>0</v>
      </c>
    </row>
    <row r="38" spans="1:15">
      <c r="A38" s="38"/>
      <c r="B38" s="81" t="s">
        <v>29</v>
      </c>
      <c r="C38" s="80"/>
      <c r="D38" s="82">
        <f>SUM(D29:D34)+D37</f>
        <v>4.3500000000000094E-2</v>
      </c>
      <c r="E38" s="64">
        <v>16</v>
      </c>
      <c r="L38" s="63">
        <v>37</v>
      </c>
      <c r="M38" s="63">
        <v>82</v>
      </c>
      <c r="N38" s="63">
        <v>127</v>
      </c>
      <c r="O38" s="1">
        <f t="shared" si="0"/>
        <v>0</v>
      </c>
    </row>
    <row r="39" spans="1:15">
      <c r="A39" s="39"/>
      <c r="B39" s="3"/>
      <c r="C39" s="3"/>
      <c r="D39" s="40"/>
      <c r="E39" s="64">
        <v>17</v>
      </c>
      <c r="L39" s="63">
        <v>38</v>
      </c>
      <c r="M39" s="63">
        <v>83</v>
      </c>
      <c r="N39" s="63">
        <v>128</v>
      </c>
      <c r="O39" s="1">
        <f t="shared" si="0"/>
        <v>0</v>
      </c>
    </row>
    <row r="40" spans="1:15">
      <c r="A40" s="41"/>
      <c r="B40" s="41"/>
      <c r="C40" s="41"/>
      <c r="D40" s="41"/>
      <c r="E40" s="64">
        <v>18</v>
      </c>
      <c r="F40" s="66"/>
      <c r="G40" s="66"/>
      <c r="H40" s="78"/>
      <c r="I40" s="78"/>
      <c r="J40" s="61"/>
      <c r="K40" s="61"/>
      <c r="L40" s="63">
        <v>39</v>
      </c>
      <c r="M40" s="63">
        <v>84</v>
      </c>
      <c r="N40" s="63">
        <v>129</v>
      </c>
      <c r="O40" s="1">
        <f t="shared" si="0"/>
        <v>0</v>
      </c>
    </row>
    <row r="41" spans="1:15">
      <c r="A41" s="41"/>
      <c r="B41" s="41"/>
      <c r="C41" s="41"/>
      <c r="D41" s="41"/>
      <c r="E41" s="64">
        <v>19</v>
      </c>
      <c r="F41" s="66"/>
      <c r="G41" s="66"/>
      <c r="H41" s="78"/>
      <c r="I41" s="78"/>
      <c r="J41" s="61"/>
      <c r="K41" s="61"/>
      <c r="L41" s="63">
        <v>40</v>
      </c>
      <c r="M41" s="63">
        <v>85</v>
      </c>
      <c r="N41" s="63">
        <v>130</v>
      </c>
      <c r="O41" s="1">
        <f t="shared" si="0"/>
        <v>0</v>
      </c>
    </row>
    <row r="42" spans="1:15">
      <c r="A42" s="41"/>
      <c r="B42" s="41"/>
      <c r="C42" s="41"/>
      <c r="D42" s="41"/>
      <c r="E42" s="64">
        <v>20</v>
      </c>
      <c r="F42" s="66"/>
      <c r="G42" s="66"/>
      <c r="H42" s="78"/>
      <c r="I42" s="78"/>
      <c r="J42" s="61"/>
      <c r="K42" s="61"/>
      <c r="L42" s="63">
        <v>41</v>
      </c>
      <c r="M42" s="63">
        <v>86</v>
      </c>
      <c r="N42" s="63">
        <v>131</v>
      </c>
      <c r="O42" s="1">
        <f t="shared" si="0"/>
        <v>0</v>
      </c>
    </row>
    <row r="43" spans="1:15">
      <c r="A43" s="39"/>
      <c r="B43" s="39"/>
      <c r="C43" s="39"/>
      <c r="D43" s="39"/>
      <c r="G43" t="s">
        <v>32</v>
      </c>
      <c r="H43" s="1">
        <v>1</v>
      </c>
      <c r="I43" s="1" t="s">
        <v>33</v>
      </c>
      <c r="L43" s="63">
        <v>42</v>
      </c>
      <c r="M43" s="63">
        <v>87</v>
      </c>
      <c r="N43" s="63">
        <v>132</v>
      </c>
    </row>
    <row r="44" spans="1:15">
      <c r="A44" s="41"/>
      <c r="B44" s="39"/>
      <c r="C44" s="39"/>
      <c r="D44" s="39"/>
      <c r="F44"/>
      <c r="H44" s="1">
        <v>2</v>
      </c>
      <c r="I44" s="1" t="s">
        <v>34</v>
      </c>
      <c r="L44" s="63">
        <v>43</v>
      </c>
      <c r="M44" s="63">
        <v>88</v>
      </c>
      <c r="N44" s="63">
        <v>133</v>
      </c>
    </row>
    <row r="45" spans="1:15">
      <c r="A45" s="41"/>
      <c r="B45" s="39"/>
      <c r="C45" s="39"/>
      <c r="D45" s="39"/>
      <c r="E45" s="1" t="s">
        <v>29</v>
      </c>
      <c r="F45" s="84">
        <f>SUM(F23:F37)</f>
        <v>0</v>
      </c>
      <c r="H45" s="1">
        <v>3</v>
      </c>
      <c r="I45" s="1" t="s">
        <v>35</v>
      </c>
      <c r="L45" s="63">
        <v>44</v>
      </c>
      <c r="M45" s="63">
        <v>89</v>
      </c>
      <c r="N45" s="63">
        <v>134</v>
      </c>
    </row>
    <row r="46" spans="1:15">
      <c r="A46" s="41"/>
      <c r="B46" s="39"/>
      <c r="C46" s="39"/>
      <c r="D46" s="39"/>
      <c r="F46"/>
      <c r="H46" s="1">
        <v>4</v>
      </c>
      <c r="I46" s="1" t="s">
        <v>36</v>
      </c>
      <c r="L46" s="63">
        <v>45</v>
      </c>
      <c r="M46" s="63">
        <v>90</v>
      </c>
      <c r="N46" s="63">
        <v>135</v>
      </c>
    </row>
    <row r="47" spans="1:15">
      <c r="A47" s="41"/>
      <c r="B47" s="41"/>
      <c r="C47" s="41"/>
      <c r="D47" s="41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2019-02-22T19:45:19Z</dcterms:modified>
</cp:coreProperties>
</file>