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externalReferences>
    <externalReference r:id="rId2"/>
  </externalReference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8" i="1"/>
  <c r="F45"/>
  <c r="D31"/>
  <c r="C8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D29"/>
  <c r="D30"/>
  <c r="D32"/>
  <c r="D33"/>
  <c r="D34"/>
  <c r="D37"/>
  <c r="C6"/>
  <c r="C9" s="1"/>
  <c r="O38"/>
  <c r="C23" l="1"/>
  <c r="C25"/>
  <c r="C18" s="1"/>
  <c r="C16"/>
  <c r="C2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<sst xmlns="http://schemas.openxmlformats.org/spreadsheetml/2006/main" count="102" uniqueCount="88">
  <si>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</si>
  <si>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</si>
  <si>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</si>
  <si>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</si>
  <si>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</si>
  <si>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</si>
  <si>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</si>
  <si>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</si>
  <si>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</si>
  <si>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</si>
  <si>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</si>
  <si>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</si>
  <si>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</si>
  <si>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</si>
  <si>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</si>
  <si>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</si>
  <si>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</si>
  <si>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</si>
  <si>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</si>
  <si>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</si>
  <si>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</si>
  <si>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</si>
  <si>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</si>
  <si>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</si>
  <si>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</si>
  <si>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</si>
  <si>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</si>
  <si>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</si>
  <si>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</si>
  <si>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</si>
  <si>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</si>
  <si>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</si>
  <si>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</si>
  <si>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</si>
  <si>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</si>
  <si>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</si>
  <si>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</si>
  <si>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</si>
  <si>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</si>
  <si>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</si>
  <si>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</si>
  <si>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</si>
  <si>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</si>
  <si>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</si>
  <si>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</si>
  <si>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</si>
  <si>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</si>
  <si>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</si>
  <si>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</si>
  <si>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</si>
  <si>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</si>
  <si>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</si>
  <si>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</si>
  <si>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</si>
  <si>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</si>
  <si>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</si>
  <si>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</si>
  <si>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</si>
  <si>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</si>
  <si>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</si>
  <si>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</si>
  <si>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</si>
  <si>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</si>
  <si>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</si>
  <si>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</si>
  <si>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</si>
  <si>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</si>
  <si>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</si>
  <si>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</si>
  <si>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</si>
  <si>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</si>
  <si>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oak</t>
  </si>
  <si>
    <t>wood</t>
  </si>
  <si>
    <t>MHA</t>
  </si>
  <si>
    <t>48hrs</t>
  </si>
  <si>
    <t>no wind , cloudy</t>
  </si>
  <si>
    <t>dry oak, bulk weighed</t>
  </si>
  <si>
    <t>Revised Feb 3/19</t>
  </si>
  <si>
    <t>moist est 13%</t>
  </si>
  <si>
    <t>MHA 1919</t>
  </si>
  <si>
    <t>73.8F</t>
  </si>
  <si>
    <t>5F</t>
  </si>
  <si>
    <t>11:24am</t>
  </si>
  <si>
    <t>large pieces loose stacking pointy side up</t>
  </si>
  <si>
    <t>oak horizontal 2-3-3-1</t>
  </si>
  <si>
    <t>Amps Vacuum Draw</t>
  </si>
  <si>
    <t>T</t>
  </si>
  <si>
    <t>Amps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</si>
</sst>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  <xf numFmtId="164" fontId="1" fillId="0" borderId="0" xfId="0" applyNumberFormat="1" applyFont="1"/>
    <xf numFmtId="164" fontId="0" fillId="0" borderId="0" xfId="0" applyNumberFormat="1"/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'HK-D01'!$Q$2</c:f>
              <c:strCache>
                <c:ptCount val="1"/>
                <c:pt idx="0">
                  <c:v>Amps</c:v>
                </c:pt>
              </c:strCache>
            </c:strRef>
          </c:tx>
          <c:xVal>
            <c:numRef>
              <c:f>'HK-D01'!$P$3:$P$26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19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33</c:v>
                </c:pt>
                <c:pt idx="12">
                  <c:v>36</c:v>
                </c:pt>
                <c:pt idx="13">
                  <c:v>42</c:v>
                </c:pt>
                <c:pt idx="14">
                  <c:v>47</c:v>
                </c:pt>
                <c:pt idx="15">
                  <c:v>51</c:v>
                </c:pt>
                <c:pt idx="16">
                  <c:v>65</c:v>
                </c:pt>
                <c:pt idx="17">
                  <c:v>90</c:v>
                </c:pt>
              </c:numCache>
            </c:numRef>
          </c:xVal>
          <c:yVal>
            <c:numRef>
              <c:f>'HK-D01'!$Q$3:$Q$26</c:f>
              <c:numCache>
                <c:formatCode>0.0</c:formatCode>
                <c:ptCount val="24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2.6</c:v>
                </c:pt>
                <c:pt idx="5">
                  <c:v>2.8</c:v>
                </c:pt>
                <c:pt idx="6">
                  <c:v>2.9</c:v>
                </c:pt>
                <c:pt idx="7">
                  <c:v>3.3</c:v>
                </c:pt>
                <c:pt idx="8">
                  <c:v>4</c:v>
                </c:pt>
                <c:pt idx="9">
                  <c:v>4.0999999999999996</c:v>
                </c:pt>
                <c:pt idx="10">
                  <c:v>4.2</c:v>
                </c:pt>
                <c:pt idx="11">
                  <c:v>4.3</c:v>
                </c:pt>
                <c:pt idx="12">
                  <c:v>4.4000000000000004</c:v>
                </c:pt>
                <c:pt idx="13">
                  <c:v>4.55</c:v>
                </c:pt>
                <c:pt idx="14">
                  <c:v>4.5999999999999996</c:v>
                </c:pt>
                <c:pt idx="15">
                  <c:v>4.7</c:v>
                </c:pt>
                <c:pt idx="16">
                  <c:v>4.8</c:v>
                </c:pt>
                <c:pt idx="17">
                  <c:v>4.9000000000000004</c:v>
                </c:pt>
              </c:numCache>
            </c:numRef>
          </c:yVal>
          <c:smooth val="1"/>
        </c:ser>
        <c:axId val="89397888"/>
        <c:axId val="89396352"/>
      </c:scatterChart>
      <c:valAx>
        <c:axId val="89397888"/>
        <c:scaling>
          <c:orientation val="minMax"/>
          <c:max val="90"/>
          <c:min val="0"/>
        </c:scaling>
        <c:axPos val="b"/>
        <c:numFmt formatCode="General" sourceLinked="1"/>
        <c:tickLblPos val="nextTo"/>
        <c:crossAx val="89396352"/>
        <c:crosses val="autoZero"/>
        <c:crossBetween val="midCat"/>
      </c:valAx>
      <c:valAx>
        <c:axId val="89396352"/>
        <c:scaling>
          <c:orientation val="minMax"/>
          <c:max val="8"/>
          <c:min val="0"/>
        </c:scaling>
        <c:axPos val="l"/>
        <c:majorGridlines/>
        <c:numFmt formatCode="0.0" sourceLinked="1"/>
        <c:tickLblPos val="nextTo"/>
        <c:crossAx val="893978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266700</xdr:colOff>
      <xdr:row>1</xdr:row>
      <xdr:rowOff>0</xdr:rowOff>
    </xdr:from>
    <xdr:to>
      <xdr:col>24</xdr:col>
      <xdr:colOff>571500</xdr:colOff>
      <xdr:row>17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dar%20MHA%2019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K-D01"/>
    </sheetNames>
    <sheetDataSet>
      <sheetData sheetId="0">
        <row r="2">
          <cell r="Q2" t="str">
            <v>Amps</v>
          </cell>
        </row>
        <row r="3">
          <cell r="P3">
            <v>0</v>
          </cell>
          <cell r="Q3">
            <v>2</v>
          </cell>
        </row>
        <row r="4">
          <cell r="P4">
            <v>1</v>
          </cell>
          <cell r="Q4">
            <v>2.1</v>
          </cell>
        </row>
        <row r="5">
          <cell r="P5">
            <v>2</v>
          </cell>
          <cell r="Q5">
            <v>2.15</v>
          </cell>
        </row>
        <row r="6">
          <cell r="P6">
            <v>3</v>
          </cell>
          <cell r="Q6">
            <v>2.2000000000000002</v>
          </cell>
        </row>
        <row r="7">
          <cell r="P7">
            <v>6</v>
          </cell>
          <cell r="Q7">
            <v>2.5</v>
          </cell>
        </row>
        <row r="8">
          <cell r="P8">
            <v>8</v>
          </cell>
          <cell r="Q8">
            <v>2.7</v>
          </cell>
        </row>
        <row r="9">
          <cell r="P9">
            <v>10</v>
          </cell>
          <cell r="Q9">
            <v>2.8</v>
          </cell>
        </row>
        <row r="10">
          <cell r="P10">
            <v>11</v>
          </cell>
          <cell r="Q10">
            <v>3.1</v>
          </cell>
        </row>
        <row r="11">
          <cell r="P11">
            <v>13</v>
          </cell>
          <cell r="Q11">
            <v>3.45</v>
          </cell>
        </row>
        <row r="12">
          <cell r="P12">
            <v>14</v>
          </cell>
          <cell r="Q12">
            <v>3.7</v>
          </cell>
        </row>
        <row r="13">
          <cell r="P13">
            <v>16</v>
          </cell>
          <cell r="Q13">
            <v>4.05</v>
          </cell>
        </row>
        <row r="14">
          <cell r="P14">
            <v>17</v>
          </cell>
          <cell r="Q14">
            <v>4.5999999999999996</v>
          </cell>
        </row>
        <row r="15">
          <cell r="P15">
            <v>18</v>
          </cell>
          <cell r="Q15">
            <v>5.2</v>
          </cell>
        </row>
        <row r="16">
          <cell r="P16">
            <v>20</v>
          </cell>
          <cell r="Q16">
            <v>5.48</v>
          </cell>
        </row>
        <row r="17">
          <cell r="P17">
            <v>22</v>
          </cell>
          <cell r="Q17">
            <v>5.74</v>
          </cell>
        </row>
        <row r="18">
          <cell r="P18">
            <v>24</v>
          </cell>
          <cell r="Q18">
            <v>5.9</v>
          </cell>
        </row>
        <row r="19">
          <cell r="P19">
            <v>28</v>
          </cell>
          <cell r="Q19">
            <v>6.2</v>
          </cell>
        </row>
        <row r="20">
          <cell r="P20">
            <v>29</v>
          </cell>
          <cell r="Q20">
            <v>6.25</v>
          </cell>
        </row>
        <row r="21">
          <cell r="P21">
            <v>32</v>
          </cell>
          <cell r="Q21">
            <v>6.3</v>
          </cell>
        </row>
        <row r="22">
          <cell r="P22">
            <v>37</v>
          </cell>
          <cell r="Q22">
            <v>6.3</v>
          </cell>
        </row>
        <row r="23">
          <cell r="P23">
            <v>48</v>
          </cell>
          <cell r="Q23">
            <v>6.2</v>
          </cell>
        </row>
        <row r="24">
          <cell r="P24">
            <v>58</v>
          </cell>
          <cell r="Q24">
            <v>6.2</v>
          </cell>
        </row>
        <row r="25">
          <cell r="P25">
            <v>75</v>
          </cell>
          <cell r="Q25">
            <v>6.3</v>
          </cell>
        </row>
        <row r="26">
          <cell r="P26">
            <v>88</v>
          </cell>
          <cell r="Q26">
            <v>6.45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Q21" sqref="Q21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" width="9.140625" style="1"/>
    <col min="17" max="17" width="9.140625" style="94"/>
    <col min="18" max="16384" width="9.140625" style="1"/>
  </cols>
  <sheetData>
    <row r="1" spans="1:17" ht="18" customHeight="1" outlineLevel="1">
      <c r="A1" s="90" t="s">
        <v>68</v>
      </c>
      <c r="B1" s="91"/>
      <c r="C1" s="91"/>
      <c r="D1" s="91"/>
      <c r="E1" s="91"/>
      <c r="F1" s="91"/>
      <c r="G1" s="91"/>
      <c r="H1" s="91"/>
      <c r="I1" s="91"/>
      <c r="J1" s="92"/>
      <c r="K1" s="2"/>
      <c r="L1" s="51" t="s">
        <v>67</v>
      </c>
      <c r="M1" s="18"/>
      <c r="N1" s="52"/>
      <c r="P1" s="1" t="s">
        <v>85</v>
      </c>
    </row>
    <row r="2" spans="1:17" outlineLevel="1">
      <c r="A2" s="1" t="s">
        <v>77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 t="s">
        <v>86</v>
      </c>
      <c r="Q2" s="95" t="s">
        <v>87</v>
      </c>
    </row>
    <row r="3" spans="1:17" ht="19.5" outlineLevel="1">
      <c r="A3" s="19" t="s">
        <v>2</v>
      </c>
      <c r="B3" s="18"/>
      <c r="C3" s="53" t="s">
        <v>79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  <c r="P3" s="1">
        <v>0</v>
      </c>
      <c r="Q3" s="94">
        <v>2.1</v>
      </c>
    </row>
    <row r="4" spans="1:17" outlineLevel="1">
      <c r="A4" s="43" t="s">
        <v>55</v>
      </c>
      <c r="B4" s="43"/>
      <c r="C4" s="44">
        <v>13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 s="1">
        <v>3</v>
      </c>
      <c r="Q4" s="94">
        <v>2.2000000000000002</v>
      </c>
    </row>
    <row r="5" spans="1:17" outlineLevel="1">
      <c r="A5" s="43" t="s">
        <v>54</v>
      </c>
      <c r="B5" s="43"/>
      <c r="C5" s="44">
        <v>55.25</v>
      </c>
      <c r="D5" s="20"/>
      <c r="K5"/>
      <c r="L5" s="64">
        <v>4</v>
      </c>
      <c r="M5" s="64">
        <v>49</v>
      </c>
      <c r="N5" s="64">
        <v>94</v>
      </c>
      <c r="P5" s="1">
        <v>5</v>
      </c>
      <c r="Q5" s="94">
        <v>2.2999999999999998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73</v>
      </c>
      <c r="H6" s="17" t="s">
        <v>3</v>
      </c>
      <c r="I6" s="18"/>
      <c r="J6" s="61">
        <v>43523</v>
      </c>
      <c r="K6"/>
      <c r="L6" s="64">
        <v>5</v>
      </c>
      <c r="M6" s="64">
        <v>50</v>
      </c>
      <c r="N6" s="64">
        <v>95</v>
      </c>
      <c r="P6" s="1">
        <v>7</v>
      </c>
      <c r="Q6" s="94">
        <v>2.4</v>
      </c>
    </row>
    <row r="7" spans="1:17" outlineLevel="1">
      <c r="A7" s="43" t="s">
        <v>37</v>
      </c>
      <c r="B7" s="43"/>
      <c r="C7" s="45">
        <v>9</v>
      </c>
      <c r="D7" s="20"/>
      <c r="E7" s="2" t="s">
        <v>5</v>
      </c>
      <c r="F7" s="2"/>
      <c r="G7" s="62" t="s">
        <v>74</v>
      </c>
      <c r="H7" s="14" t="s">
        <v>63</v>
      </c>
      <c r="I7" s="2"/>
      <c r="J7" s="60" t="s">
        <v>81</v>
      </c>
      <c r="K7"/>
      <c r="L7" s="64">
        <v>6</v>
      </c>
      <c r="M7" s="64">
        <v>51</v>
      </c>
      <c r="N7" s="64">
        <v>96</v>
      </c>
      <c r="P7" s="1">
        <v>10</v>
      </c>
      <c r="Q7" s="94">
        <v>2.6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 t="s">
        <v>80</v>
      </c>
      <c r="H8" s="21" t="s">
        <v>7</v>
      </c>
      <c r="I8" s="93" t="s">
        <v>75</v>
      </c>
      <c r="J8" s="93"/>
      <c r="K8"/>
      <c r="L8" s="64">
        <v>7</v>
      </c>
      <c r="M8" s="64">
        <v>52</v>
      </c>
      <c r="N8" s="64">
        <v>97</v>
      </c>
      <c r="P8" s="1">
        <v>12</v>
      </c>
      <c r="Q8" s="94">
        <v>2.8</v>
      </c>
    </row>
    <row r="9" spans="1:17" outlineLevel="1">
      <c r="A9" s="43" t="s">
        <v>52</v>
      </c>
      <c r="B9" s="43"/>
      <c r="C9" s="44">
        <f>(C5-C6)/C7</f>
        <v>5.916666666666667</v>
      </c>
      <c r="K9"/>
      <c r="L9" s="64">
        <v>8</v>
      </c>
      <c r="M9" s="64">
        <v>53</v>
      </c>
      <c r="N9" s="64">
        <v>98</v>
      </c>
      <c r="P9" s="1">
        <v>14</v>
      </c>
      <c r="Q9" s="94">
        <v>2.9</v>
      </c>
    </row>
    <row r="10" spans="1:17" ht="14.25" outlineLevel="1">
      <c r="A10" s="43" t="s">
        <v>56</v>
      </c>
      <c r="B10" s="43"/>
      <c r="C10" s="67">
        <v>1.5</v>
      </c>
      <c r="D10" s="20"/>
      <c r="E10" s="87" t="s">
        <v>66</v>
      </c>
      <c r="F10" s="88"/>
      <c r="G10" s="88"/>
      <c r="H10" s="89"/>
      <c r="I10" s="5"/>
      <c r="J10" s="16"/>
      <c r="K10"/>
      <c r="L10" s="64">
        <v>9</v>
      </c>
      <c r="M10" s="64">
        <v>54</v>
      </c>
      <c r="N10" s="64">
        <v>99</v>
      </c>
      <c r="O10" s="80"/>
      <c r="P10" s="1">
        <v>19</v>
      </c>
      <c r="Q10" s="94">
        <v>3.3</v>
      </c>
    </row>
    <row r="11" spans="1:17" outlineLevel="1">
      <c r="A11" s="43" t="s">
        <v>57</v>
      </c>
      <c r="B11" s="43"/>
      <c r="C11" s="47">
        <f>StackTemp</f>
        <v>290.25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1">
        <v>23</v>
      </c>
      <c r="Q11" s="94">
        <v>4</v>
      </c>
    </row>
    <row r="12" spans="1:17" outlineLevel="1">
      <c r="A12" s="43" t="s">
        <v>39</v>
      </c>
      <c r="B12" s="43"/>
      <c r="C12" s="46">
        <f>F12</f>
        <v>14.86</v>
      </c>
      <c r="D12" s="20"/>
      <c r="E12" s="62">
        <v>290.25</v>
      </c>
      <c r="F12" s="67">
        <v>14.86</v>
      </c>
      <c r="G12" s="79">
        <v>538.4</v>
      </c>
      <c r="H12" s="60"/>
      <c r="I12" s="86" t="s">
        <v>82</v>
      </c>
      <c r="J12" s="2"/>
      <c r="K12"/>
      <c r="L12" s="64">
        <v>11</v>
      </c>
      <c r="M12" s="64">
        <v>56</v>
      </c>
      <c r="N12" s="64">
        <v>101</v>
      </c>
      <c r="P12" s="1">
        <v>25</v>
      </c>
      <c r="Q12" s="94">
        <v>4.0999999999999996</v>
      </c>
    </row>
    <row r="13" spans="1:17">
      <c r="A13" s="43" t="s">
        <v>40</v>
      </c>
      <c r="B13" s="43"/>
      <c r="C13" s="46">
        <f>AVERAGE(ppm_CO)/10000</f>
        <v>5.3839999999999999E-2</v>
      </c>
      <c r="D13" s="20"/>
      <c r="E13" s="68"/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  <c r="P13" s="1">
        <v>27</v>
      </c>
      <c r="Q13" s="94">
        <v>4.2</v>
      </c>
    </row>
    <row r="14" spans="1:17">
      <c r="A14" s="43" t="s">
        <v>59</v>
      </c>
      <c r="B14" s="43"/>
      <c r="C14" s="46">
        <f>SQRT(528/(460+StackTemp))</f>
        <v>0.83890727230695172</v>
      </c>
      <c r="D14" s="37"/>
      <c r="E14" s="87" t="s">
        <v>8</v>
      </c>
      <c r="F14" s="88"/>
      <c r="G14" s="88"/>
      <c r="H14" s="88"/>
      <c r="I14" s="88"/>
      <c r="J14" s="89"/>
      <c r="L14" s="64">
        <v>13</v>
      </c>
      <c r="M14" s="64">
        <v>58</v>
      </c>
      <c r="N14" s="64">
        <v>103</v>
      </c>
      <c r="P14" s="1">
        <v>33</v>
      </c>
      <c r="Q14" s="94">
        <v>4.3</v>
      </c>
    </row>
    <row r="15" spans="1:17">
      <c r="A15" s="43" t="s">
        <v>41</v>
      </c>
      <c r="B15" s="43"/>
      <c r="C15" s="48">
        <f>20.9/(20.9-_AvO2)</f>
        <v>3.4602649006622519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  <c r="P15" s="1">
        <v>36</v>
      </c>
      <c r="Q15" s="94">
        <v>4.4000000000000004</v>
      </c>
    </row>
    <row r="16" spans="1:17">
      <c r="A16" s="43" t="s">
        <v>42</v>
      </c>
      <c r="B16" s="43"/>
      <c r="C16" s="46">
        <f>((WtFuel-(UnburnedFuel*(1+AvMoisture/100)))/RunLength)*(1-(AvMoisture/100))/2.2</f>
        <v>14.565909090909091</v>
      </c>
      <c r="D16" s="20"/>
      <c r="E16" s="1" t="s">
        <v>10</v>
      </c>
      <c r="G16" s="77" t="s">
        <v>72</v>
      </c>
      <c r="H16" s="71" t="s">
        <v>84</v>
      </c>
      <c r="I16" s="72"/>
      <c r="J16" s="73"/>
      <c r="L16" s="64">
        <v>15</v>
      </c>
      <c r="M16" s="64">
        <v>60</v>
      </c>
      <c r="N16" s="64">
        <v>105</v>
      </c>
      <c r="P16" s="1">
        <v>42</v>
      </c>
      <c r="Q16" s="94">
        <v>4.55</v>
      </c>
    </row>
    <row r="17" spans="1:17">
      <c r="A17" s="43" t="s">
        <v>61</v>
      </c>
      <c r="B17" s="43"/>
      <c r="C17" s="46">
        <f>(8.05+0.0035*(StackTemp-70))+(2.58+0.00114*StackTemp)</f>
        <v>11.731760000000001</v>
      </c>
      <c r="D17" s="20"/>
      <c r="E17" s="20"/>
      <c r="F17" s="20"/>
      <c r="G17" s="20"/>
      <c r="H17" s="74" t="s">
        <v>76</v>
      </c>
      <c r="I17" s="72"/>
      <c r="J17" s="73"/>
      <c r="L17" s="64">
        <v>16</v>
      </c>
      <c r="M17" s="64">
        <v>61</v>
      </c>
      <c r="N17" s="64">
        <v>106</v>
      </c>
      <c r="P17" s="1">
        <v>47</v>
      </c>
      <c r="Q17" s="94">
        <v>4.5999999999999996</v>
      </c>
    </row>
    <row r="18" spans="1:17">
      <c r="A18" s="43" t="s">
        <v>43</v>
      </c>
      <c r="B18" s="43"/>
      <c r="C18" s="46">
        <f>gmKgCO*9.75/86</f>
        <v>1.2524928534575697</v>
      </c>
      <c r="D18" s="20"/>
      <c r="E18" s="2" t="s">
        <v>11</v>
      </c>
      <c r="F18" s="2"/>
      <c r="G18" s="84">
        <v>2</v>
      </c>
      <c r="H18" s="74" t="s">
        <v>78</v>
      </c>
      <c r="I18" s="72"/>
      <c r="J18" s="73"/>
      <c r="L18" s="64">
        <v>17</v>
      </c>
      <c r="M18" s="64">
        <v>62</v>
      </c>
      <c r="N18" s="64">
        <v>107</v>
      </c>
      <c r="P18" s="1">
        <v>51</v>
      </c>
      <c r="Q18" s="94">
        <v>4.7</v>
      </c>
    </row>
    <row r="19" spans="1:17">
      <c r="A19" s="43" t="s">
        <v>44</v>
      </c>
      <c r="B19" s="43"/>
      <c r="C19" s="46">
        <f>gmKgCondar*33/86</f>
        <v>0.39534853098490019</v>
      </c>
      <c r="D19" s="20"/>
      <c r="E19" s="1" t="s">
        <v>12</v>
      </c>
      <c r="G19" s="78"/>
      <c r="H19" s="57" t="s">
        <v>83</v>
      </c>
      <c r="I19" s="75"/>
      <c r="J19" s="76"/>
      <c r="L19" s="64">
        <v>18</v>
      </c>
      <c r="M19" s="64">
        <v>63</v>
      </c>
      <c r="N19" s="64">
        <v>108</v>
      </c>
      <c r="P19" s="1">
        <v>65</v>
      </c>
      <c r="Q19" s="94">
        <v>4.8</v>
      </c>
    </row>
    <row r="20" spans="1:17">
      <c r="A20" s="43" t="s">
        <v>45</v>
      </c>
      <c r="B20" s="43"/>
      <c r="C20" s="46">
        <f>((1.5*DilutionFactor*(StackTemp-70))/8600)*100</f>
        <v>13.292849029724319</v>
      </c>
      <c r="D20" s="20"/>
      <c r="L20" s="64">
        <v>19</v>
      </c>
      <c r="M20" s="64">
        <v>64</v>
      </c>
      <c r="N20" s="64">
        <v>109</v>
      </c>
      <c r="P20" s="1">
        <v>90</v>
      </c>
      <c r="Q20" s="94">
        <v>4.9000000000000004</v>
      </c>
    </row>
    <row r="21" spans="1:17">
      <c r="A21" s="49" t="s">
        <v>58</v>
      </c>
      <c r="B21" s="50"/>
      <c r="C21" s="50">
        <f xml:space="preserve"> Catch</f>
        <v>4.9299999999999899E-2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7">
      <c r="A22" s="43" t="s">
        <v>48</v>
      </c>
      <c r="B22" s="43"/>
      <c r="C22" s="46">
        <f>100-COLoss-HCLoss</f>
        <v>98.352158615557528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7">
      <c r="A23" s="43" t="s">
        <v>49</v>
      </c>
      <c r="B23" s="43"/>
      <c r="C23" s="46">
        <f>100-DryGasLoss-BoilWaterLoss</f>
        <v>74.975390970275669</v>
      </c>
      <c r="D23" s="20"/>
      <c r="E23" s="65">
        <v>1</v>
      </c>
      <c r="F23" s="67"/>
      <c r="G23" s="67"/>
      <c r="H23" s="79"/>
      <c r="I23" s="79"/>
      <c r="J23" s="62" t="s">
        <v>71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0</v>
      </c>
    </row>
    <row r="24" spans="1:17">
      <c r="A24" s="28" t="s">
        <v>46</v>
      </c>
      <c r="B24" s="29"/>
      <c r="C24" s="30">
        <f>(Catch/RunLength)*3.04*(DilutionFactor)/(0.4*StackTempFactor)</f>
        <v>1.0303022322636792</v>
      </c>
      <c r="D24" s="20"/>
      <c r="E24" s="65">
        <v>2</v>
      </c>
      <c r="F24" s="67"/>
      <c r="G24" s="67"/>
      <c r="H24" s="79"/>
      <c r="I24" s="79"/>
      <c r="J24" s="62" t="s">
        <v>71</v>
      </c>
      <c r="K24" s="62"/>
      <c r="L24" s="64">
        <v>23</v>
      </c>
      <c r="M24" s="64">
        <v>68</v>
      </c>
      <c r="N24" s="64">
        <v>113</v>
      </c>
      <c r="O24" s="1">
        <f t="shared" si="0"/>
        <v>0</v>
      </c>
    </row>
    <row r="25" spans="1:17">
      <c r="A25" s="31" t="s">
        <v>47</v>
      </c>
      <c r="B25" s="32"/>
      <c r="C25" s="33">
        <f>59.3*AvCO*DilutionFactor</f>
        <v>11.04762927152318</v>
      </c>
      <c r="D25" s="20"/>
      <c r="E25" s="65">
        <v>3</v>
      </c>
      <c r="F25" s="67"/>
      <c r="G25" s="67"/>
      <c r="H25" s="79"/>
      <c r="I25" s="79"/>
      <c r="J25" s="62" t="s">
        <v>71</v>
      </c>
      <c r="K25" s="62"/>
      <c r="L25" s="64">
        <v>24</v>
      </c>
      <c r="M25" s="64">
        <v>69</v>
      </c>
      <c r="N25" s="64">
        <v>114</v>
      </c>
      <c r="O25" s="1">
        <f t="shared" si="0"/>
        <v>0</v>
      </c>
    </row>
    <row r="26" spans="1:17">
      <c r="A26" s="34" t="s">
        <v>50</v>
      </c>
      <c r="B26" s="35"/>
      <c r="C26" s="36">
        <f>HTransEffic*CombustEffic/100</f>
        <v>73.739915449719916</v>
      </c>
      <c r="E26" s="65">
        <v>4</v>
      </c>
      <c r="F26" s="67"/>
      <c r="G26" s="67"/>
      <c r="H26" s="79"/>
      <c r="I26" s="79"/>
      <c r="J26" s="62" t="s">
        <v>71</v>
      </c>
      <c r="K26" s="62"/>
      <c r="L26" s="64">
        <v>25</v>
      </c>
      <c r="M26" s="64">
        <v>70</v>
      </c>
      <c r="N26" s="64">
        <v>115</v>
      </c>
      <c r="O26" s="1">
        <f t="shared" si="0"/>
        <v>0</v>
      </c>
    </row>
    <row r="27" spans="1:17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/>
      <c r="G27" s="67"/>
      <c r="H27" s="79"/>
      <c r="I27" s="79"/>
      <c r="J27" s="62" t="s">
        <v>71</v>
      </c>
      <c r="K27" s="62"/>
      <c r="L27" s="64">
        <v>26</v>
      </c>
      <c r="M27" s="64">
        <v>71</v>
      </c>
      <c r="N27" s="64">
        <v>116</v>
      </c>
      <c r="O27" s="1">
        <f t="shared" si="0"/>
        <v>0</v>
      </c>
    </row>
    <row r="28" spans="1:17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/>
      <c r="G28" s="67"/>
      <c r="H28" s="79"/>
      <c r="I28" s="79"/>
      <c r="J28" s="62" t="s">
        <v>71</v>
      </c>
      <c r="K28" s="62"/>
      <c r="L28" s="64">
        <v>27</v>
      </c>
      <c r="M28" s="64">
        <v>72</v>
      </c>
      <c r="N28" s="64">
        <v>117</v>
      </c>
      <c r="O28" s="1">
        <f t="shared" si="0"/>
        <v>0</v>
      </c>
    </row>
    <row r="29" spans="1:17">
      <c r="A29" s="11">
        <v>1</v>
      </c>
      <c r="B29" s="25">
        <v>0.99399999999999999</v>
      </c>
      <c r="C29" s="25">
        <v>1.0412999999999999</v>
      </c>
      <c r="D29" s="4">
        <f t="shared" ref="D29:D34" si="1">IF(FiltDirty-FiltClean&gt;0,FiltDirty-FiltClean,0)</f>
        <v>4.7299999999999898E-2</v>
      </c>
      <c r="E29" s="65">
        <v>7</v>
      </c>
      <c r="F29" s="67"/>
      <c r="G29" s="67"/>
      <c r="H29" s="79"/>
      <c r="I29" s="79"/>
      <c r="J29" s="62" t="s">
        <v>71</v>
      </c>
      <c r="K29" s="62"/>
      <c r="L29" s="64">
        <v>28</v>
      </c>
      <c r="M29" s="64">
        <v>73</v>
      </c>
      <c r="N29" s="64">
        <v>118</v>
      </c>
      <c r="O29" s="1">
        <f t="shared" si="0"/>
        <v>0</v>
      </c>
    </row>
    <row r="30" spans="1:17">
      <c r="A30" s="11">
        <v>2</v>
      </c>
      <c r="B30" s="25">
        <v>0.98409999999999997</v>
      </c>
      <c r="C30" s="25">
        <v>0.9859</v>
      </c>
      <c r="D30" s="4">
        <f t="shared" si="1"/>
        <v>1.8000000000000238E-3</v>
      </c>
      <c r="E30" s="65">
        <v>8</v>
      </c>
      <c r="F30" s="67"/>
      <c r="G30" s="67"/>
      <c r="H30" s="79"/>
      <c r="I30" s="79"/>
      <c r="J30" s="62" t="s">
        <v>71</v>
      </c>
      <c r="K30" s="62"/>
      <c r="L30" s="64">
        <v>29</v>
      </c>
      <c r="M30" s="64">
        <v>74</v>
      </c>
      <c r="N30" s="64">
        <v>119</v>
      </c>
      <c r="O30" s="1">
        <f t="shared" si="0"/>
        <v>0</v>
      </c>
    </row>
    <row r="31" spans="1:17">
      <c r="A31" s="11">
        <v>3</v>
      </c>
      <c r="B31" s="25"/>
      <c r="C31" s="25"/>
      <c r="D31" s="4">
        <f t="shared" si="1"/>
        <v>0</v>
      </c>
      <c r="E31" s="65">
        <v>9</v>
      </c>
      <c r="F31" s="67"/>
      <c r="G31" s="67"/>
      <c r="H31" s="79"/>
      <c r="I31" s="79"/>
      <c r="J31" s="62" t="s">
        <v>71</v>
      </c>
      <c r="K31" s="62"/>
      <c r="L31" s="64">
        <v>30</v>
      </c>
      <c r="M31" s="64">
        <v>75</v>
      </c>
      <c r="N31" s="64">
        <v>120</v>
      </c>
      <c r="O31" s="1">
        <f t="shared" si="0"/>
        <v>0</v>
      </c>
    </row>
    <row r="32" spans="1:17">
      <c r="A32" s="11">
        <v>4</v>
      </c>
      <c r="B32" s="25"/>
      <c r="C32" s="25"/>
      <c r="D32" s="4">
        <f t="shared" si="1"/>
        <v>0</v>
      </c>
      <c r="E32" s="65">
        <v>10</v>
      </c>
      <c r="F32" s="67"/>
      <c r="G32" s="67"/>
      <c r="H32" s="79"/>
      <c r="I32" s="79"/>
      <c r="J32" s="62" t="s">
        <v>71</v>
      </c>
      <c r="K32" s="62"/>
      <c r="L32" s="64">
        <v>31</v>
      </c>
      <c r="M32" s="64">
        <v>76</v>
      </c>
      <c r="N32" s="64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/>
      <c r="G33" s="67"/>
      <c r="H33" s="79"/>
      <c r="I33" s="79"/>
      <c r="J33" s="62" t="s">
        <v>71</v>
      </c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/>
      <c r="G34" s="67"/>
      <c r="H34" s="79"/>
      <c r="I34" s="79"/>
      <c r="J34" s="62" t="s">
        <v>71</v>
      </c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1.0206</v>
      </c>
      <c r="C35" s="25">
        <v>1.0204</v>
      </c>
      <c r="D35" s="4"/>
      <c r="E35" s="65">
        <v>13</v>
      </c>
      <c r="F35" s="67"/>
      <c r="G35" s="67"/>
      <c r="H35" s="79"/>
      <c r="I35" s="79"/>
      <c r="J35" s="62" t="s">
        <v>71</v>
      </c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/>
      <c r="G36" s="67"/>
      <c r="H36" s="79"/>
      <c r="I36" s="79"/>
      <c r="J36" s="62"/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1.9999999999997797E-4</v>
      </c>
      <c r="E37" s="65">
        <v>15</v>
      </c>
      <c r="F37" s="65"/>
      <c r="J37" s="65"/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2" t="s">
        <v>29</v>
      </c>
      <c r="C38" s="81"/>
      <c r="D38" s="83">
        <f>SUM(D29:D34)+D37</f>
        <v>4.9299999999999899E-2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5">
        <f>SUM(F23:F37)</f>
        <v>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2019-03-12T20:36:06Z</dcterms:modified>
</cp:coreProperties>
</file>